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ate and Recharge\FY25-26\"/>
    </mc:Choice>
  </mc:AlternateContent>
  <xr:revisionPtr revIDLastSave="0" documentId="13_ncr:1_{853C2473-4147-4A3D-A28B-8329C23E4623}" xr6:coauthVersionLast="47" xr6:coauthVersionMax="47" xr10:uidLastSave="{00000000-0000-0000-0000-000000000000}"/>
  <bookViews>
    <workbookView xWindow="-120" yWindow="-120" windowWidth="38640" windowHeight="15720" activeTab="2" xr2:uid="{00000000-000D-0000-FFFF-FFFF00000000}"/>
  </bookViews>
  <sheets>
    <sheet name="Summary" sheetId="31" r:id="rId1"/>
    <sheet name="Rate summary" sheetId="14" r:id="rId2"/>
    <sheet name="Salary &amp; Benefits" sheetId="25" r:id="rId3"/>
    <sheet name="Productive Hours" sheetId="32" r:id="rId4"/>
    <sheet name="Service cost per Hour" sheetId="11" state="hidden" r:id="rId5"/>
    <sheet name="Project List" sheetId="19" r:id="rId6"/>
    <sheet name="Resource Pool" sheetId="9" state="hidden" r:id="rId7"/>
    <sheet name="Res S&amp;E, equipment" sheetId="13" state="hidden" r:id="rId8"/>
    <sheet name="Res Staffing" sheetId="16" state="hidden" r:id="rId9"/>
    <sheet name="Personnel" sheetId="7" state="hidden" r:id="rId10"/>
    <sheet name="Function Costing" sheetId="8" state="hidden" r:id="rId11"/>
    <sheet name="Staffing LIst" sheetId="12" state="hidden" r:id="rId12"/>
    <sheet name="Res Productive" sheetId="17" state="hidden" r:id="rId13"/>
    <sheet name="Cultural" sheetId="18" state="hidden" r:id="rId14"/>
    <sheet name="GAEL CALCULATION" sheetId="33" state="hidden" r:id="rId15"/>
    <sheet name="Feed Staffing" sheetId="21" state="hidden" r:id="rId16"/>
    <sheet name="Feed S&amp;E" sheetId="23" state="hidden" r:id="rId17"/>
    <sheet name="Check figure" sheetId="36" state="hidden" r:id="rId18"/>
    <sheet name="Password" sheetId="35" state="hidden" r:id="rId19"/>
    <sheet name="Depreciation" sheetId="37" r:id="rId20"/>
    <sheet name="Budget to Actual 23-24" sheetId="40" r:id="rId21"/>
    <sheet name="Projected B2A 24-25" sheetId="42" r:id="rId22"/>
    <sheet name="Drop Down" sheetId="39" state="hidden" r:id="rId23"/>
  </sheets>
  <externalReferences>
    <externalReference r:id="rId24"/>
    <externalReference r:id="rId25"/>
  </externalReferences>
  <definedNames>
    <definedName name="_xlnm._FilterDatabase" localSheetId="5" hidden="1">'Project List'!$A$5:$T$38</definedName>
    <definedName name="_xlnm.Print_Area" localSheetId="5">'Project List'!$A$1:$T$38</definedName>
    <definedName name="_xlnm.Print_Area" localSheetId="1">'Rate summary'!$A$1:$Q$61</definedName>
    <definedName name="_xlnm.Print_Area" localSheetId="12">'Res Productive'!$A$1:$M$31</definedName>
    <definedName name="_xlnm.Print_Area" localSheetId="8">'Res Staffing'!$A$1:$R$45</definedName>
    <definedName name="_xlnm.Print_Area" localSheetId="2">'Salary &amp; Benefits'!$C$2:$O$69</definedName>
    <definedName name="_xlnm.Print_Area" localSheetId="4">'Service cost per Hour'!$B$4:$F$15</definedName>
    <definedName name="_xlnm.Print_Area" localSheetId="0">Summary!$A$1:$H$38</definedName>
    <definedName name="_xlnm.Print_Titles" localSheetId="1">'Rate summary'!$1:$2</definedName>
    <definedName name="Rate1">'Rate summary'!$E$61</definedName>
    <definedName name="Rate2">'Rate summary'!$K$61</definedName>
    <definedName name="Rate3">'Rate summary'!$Q$61</definedName>
    <definedName name="Rate4">'Rate summary'!$W$61</definedName>
    <definedName name="Rate5">'Rate summary'!$AC$61</definedName>
    <definedName name="Rate6">'Rate summary'!$AI$61</definedName>
    <definedName name="StatusCodes">[1]!Table3[Status codes]</definedName>
    <definedName name="TitleCode">[2]TitleCode!$A$1:$C$22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40" l="1"/>
  <c r="T22" i="40"/>
  <c r="U22" i="40"/>
  <c r="V22" i="40"/>
  <c r="W22" i="40"/>
  <c r="X22" i="40"/>
  <c r="T23" i="40"/>
  <c r="U23" i="40"/>
  <c r="V23" i="40"/>
  <c r="W23" i="40"/>
  <c r="X23" i="40"/>
  <c r="T24" i="40"/>
  <c r="U24" i="40"/>
  <c r="V24" i="40"/>
  <c r="W24" i="40"/>
  <c r="X24" i="40"/>
  <c r="T25" i="40"/>
  <c r="U25" i="40"/>
  <c r="V25" i="40"/>
  <c r="W25" i="40"/>
  <c r="X25" i="40"/>
  <c r="S23" i="40"/>
  <c r="S24" i="40"/>
  <c r="S25" i="40"/>
  <c r="S22" i="40"/>
  <c r="T16" i="40"/>
  <c r="U16" i="40"/>
  <c r="V16" i="40"/>
  <c r="W16" i="40"/>
  <c r="X16" i="40"/>
  <c r="Y16" i="40"/>
  <c r="T17" i="40"/>
  <c r="U17" i="40"/>
  <c r="V17" i="40"/>
  <c r="W17" i="40"/>
  <c r="X17" i="40"/>
  <c r="Y17" i="40"/>
  <c r="T18" i="40"/>
  <c r="U18" i="40"/>
  <c r="V18" i="40"/>
  <c r="W18" i="40"/>
  <c r="X18" i="40"/>
  <c r="T19" i="40"/>
  <c r="U19" i="40"/>
  <c r="V19" i="40"/>
  <c r="W19" i="40"/>
  <c r="X19" i="40"/>
  <c r="S17" i="40"/>
  <c r="S18" i="40"/>
  <c r="S19" i="40"/>
  <c r="S16" i="40"/>
  <c r="T11" i="40"/>
  <c r="U11" i="40"/>
  <c r="V11" i="40"/>
  <c r="W11" i="40"/>
  <c r="X11" i="40"/>
  <c r="T12" i="40"/>
  <c r="U12" i="40"/>
  <c r="V12" i="40"/>
  <c r="W12" i="40"/>
  <c r="X12" i="40"/>
  <c r="T13" i="40"/>
  <c r="U13" i="40"/>
  <c r="V13" i="40"/>
  <c r="W13" i="40"/>
  <c r="X13" i="40"/>
  <c r="S12" i="40"/>
  <c r="S13" i="40"/>
  <c r="S11" i="40"/>
  <c r="X10" i="40"/>
  <c r="W10" i="40"/>
  <c r="V10" i="40"/>
  <c r="U10" i="40"/>
  <c r="T10" i="40"/>
  <c r="S10" i="40"/>
  <c r="J7" i="40"/>
  <c r="O26" i="40"/>
  <c r="Q25" i="40"/>
  <c r="Q24" i="40"/>
  <c r="N26" i="40"/>
  <c r="P26" i="40"/>
  <c r="Q23" i="40"/>
  <c r="M26" i="40"/>
  <c r="L26" i="40"/>
  <c r="Q22" i="40"/>
  <c r="N20" i="40"/>
  <c r="M20" i="40"/>
  <c r="K20" i="40"/>
  <c r="Q19" i="40"/>
  <c r="Q18" i="40"/>
  <c r="P20" i="40"/>
  <c r="O20" i="40"/>
  <c r="P14" i="40"/>
  <c r="O14" i="40"/>
  <c r="N14" i="40"/>
  <c r="Q13" i="40"/>
  <c r="Q12" i="40"/>
  <c r="M14" i="40"/>
  <c r="L14" i="40"/>
  <c r="Q11" i="40"/>
  <c r="P10" i="40"/>
  <c r="O10" i="40"/>
  <c r="N10" i="40"/>
  <c r="M10" i="40"/>
  <c r="L10" i="40"/>
  <c r="K10" i="40"/>
  <c r="J6" i="40"/>
  <c r="F9" i="25"/>
  <c r="K8" i="25"/>
  <c r="M8" i="25" s="1"/>
  <c r="AA5" i="19"/>
  <c r="Z5" i="19"/>
  <c r="Y5" i="19"/>
  <c r="X5" i="19"/>
  <c r="W5" i="19"/>
  <c r="V5" i="19"/>
  <c r="AB14" i="32"/>
  <c r="E22" i="31"/>
  <c r="F11" i="25"/>
  <c r="F12" i="25" s="1"/>
  <c r="R8" i="25"/>
  <c r="Q20" i="40" l="1"/>
  <c r="Q26" i="40"/>
  <c r="Q14" i="40"/>
  <c r="M27" i="40"/>
  <c r="N27" i="40"/>
  <c r="L20" i="40"/>
  <c r="K14" i="40"/>
  <c r="O27" i="40"/>
  <c r="P27" i="40"/>
  <c r="K26" i="40"/>
  <c r="A7" i="42"/>
  <c r="A7" i="40"/>
  <c r="O29" i="40" l="1"/>
  <c r="K27" i="40"/>
  <c r="P29" i="40"/>
  <c r="L27" i="40"/>
  <c r="N29" i="40"/>
  <c r="M29" i="40"/>
  <c r="Q27" i="40"/>
  <c r="I73" i="14"/>
  <c r="O73" i="14" s="1"/>
  <c r="U73" i="14" s="1"/>
  <c r="AA73" i="14" s="1"/>
  <c r="AG73" i="14" s="1"/>
  <c r="AH68" i="14"/>
  <c r="AG68" i="14"/>
  <c r="AB68" i="14"/>
  <c r="AA68" i="14"/>
  <c r="V68" i="14"/>
  <c r="U68" i="14"/>
  <c r="P68" i="14"/>
  <c r="O68" i="14"/>
  <c r="J68" i="14"/>
  <c r="I68" i="14"/>
  <c r="C14" i="40"/>
  <c r="T14" i="40" s="1"/>
  <c r="D14" i="40"/>
  <c r="U14" i="40" s="1"/>
  <c r="E14" i="40"/>
  <c r="V14" i="40" s="1"/>
  <c r="F14" i="40"/>
  <c r="W14" i="40" s="1"/>
  <c r="G14" i="40"/>
  <c r="X14" i="40" s="1"/>
  <c r="B14" i="40"/>
  <c r="S14" i="40" s="1"/>
  <c r="H13" i="40"/>
  <c r="Y13" i="40" s="1"/>
  <c r="X25" i="42"/>
  <c r="W26" i="42"/>
  <c r="V26" i="42"/>
  <c r="U26" i="42"/>
  <c r="T26" i="42"/>
  <c r="S26" i="42"/>
  <c r="R26" i="42"/>
  <c r="P25" i="42"/>
  <c r="O26" i="42"/>
  <c r="N26" i="42"/>
  <c r="M26" i="42"/>
  <c r="L26" i="42"/>
  <c r="K26" i="42"/>
  <c r="J26" i="42"/>
  <c r="B25" i="42"/>
  <c r="H25" i="42" s="1"/>
  <c r="C25" i="42"/>
  <c r="D25" i="42"/>
  <c r="E25" i="42"/>
  <c r="F25" i="42"/>
  <c r="G25" i="42"/>
  <c r="X13" i="42"/>
  <c r="W14" i="42"/>
  <c r="V14" i="42"/>
  <c r="U14" i="42"/>
  <c r="T14" i="42"/>
  <c r="S14" i="42"/>
  <c r="R14" i="42"/>
  <c r="P13" i="42"/>
  <c r="K14" i="42"/>
  <c r="L14" i="42"/>
  <c r="M14" i="42"/>
  <c r="N14" i="42"/>
  <c r="O14" i="42"/>
  <c r="J14" i="42"/>
  <c r="B13" i="42"/>
  <c r="C13" i="42"/>
  <c r="H13" i="42" s="1"/>
  <c r="D13" i="42"/>
  <c r="E13" i="42"/>
  <c r="F13" i="42"/>
  <c r="G13" i="42"/>
  <c r="L29" i="40" l="1"/>
  <c r="K29" i="40"/>
  <c r="Q29" i="40"/>
  <c r="L13" i="37"/>
  <c r="L14" i="37"/>
  <c r="L15" i="37"/>
  <c r="L16" i="37"/>
  <c r="L17" i="37"/>
  <c r="L18" i="37"/>
  <c r="L19" i="37"/>
  <c r="L20" i="37"/>
  <c r="L21" i="37"/>
  <c r="L22" i="37"/>
  <c r="L23" i="37"/>
  <c r="L24" i="37"/>
  <c r="L25" i="37"/>
  <c r="L26" i="37"/>
  <c r="L27" i="37"/>
  <c r="L28" i="37"/>
  <c r="L29" i="37"/>
  <c r="L30" i="37"/>
  <c r="L31" i="37"/>
  <c r="L32" i="37"/>
  <c r="L33" i="37"/>
  <c r="L34" i="37"/>
  <c r="AG5" i="14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A5" i="14"/>
  <c r="AA6" i="14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4" i="14"/>
  <c r="G23" i="14"/>
  <c r="S23" i="14" s="1"/>
  <c r="AE23" i="14" s="1"/>
  <c r="M23" i="14"/>
  <c r="Y23" i="14" s="1"/>
  <c r="G22" i="14"/>
  <c r="S22" i="14" s="1"/>
  <c r="AE22" i="14" s="1"/>
  <c r="M22" i="14"/>
  <c r="Y22" i="14" s="1"/>
  <c r="G21" i="14"/>
  <c r="S21" i="14" s="1"/>
  <c r="AE21" i="14" s="1"/>
  <c r="M21" i="14"/>
  <c r="Y21" i="14" s="1"/>
  <c r="G20" i="14"/>
  <c r="S20" i="14" s="1"/>
  <c r="AE20" i="14" s="1"/>
  <c r="M20" i="14"/>
  <c r="Y20" i="14" s="1"/>
  <c r="G19" i="14"/>
  <c r="S19" i="14" s="1"/>
  <c r="AE19" i="14" s="1"/>
  <c r="M19" i="14"/>
  <c r="Y19" i="14" s="1"/>
  <c r="G18" i="14"/>
  <c r="S18" i="14" s="1"/>
  <c r="AE18" i="14" s="1"/>
  <c r="M18" i="14"/>
  <c r="Y18" i="14" s="1"/>
  <c r="G17" i="14"/>
  <c r="S17" i="14" s="1"/>
  <c r="AE17" i="14" s="1"/>
  <c r="M17" i="14"/>
  <c r="Y17" i="14" s="1"/>
  <c r="G16" i="14"/>
  <c r="S16" i="14" s="1"/>
  <c r="AE16" i="14" s="1"/>
  <c r="M16" i="14"/>
  <c r="Y16" i="14" s="1"/>
  <c r="G15" i="14"/>
  <c r="S15" i="14" s="1"/>
  <c r="AE15" i="14" s="1"/>
  <c r="M15" i="14"/>
  <c r="Y15" i="14" s="1"/>
  <c r="G14" i="14"/>
  <c r="S14" i="14" s="1"/>
  <c r="AE14" i="14" s="1"/>
  <c r="M14" i="14"/>
  <c r="Y14" i="14" s="1"/>
  <c r="AB24" i="32"/>
  <c r="AB25" i="32"/>
  <c r="AB26" i="32"/>
  <c r="AB27" i="32"/>
  <c r="AB28" i="32"/>
  <c r="AB29" i="32"/>
  <c r="AB30" i="32"/>
  <c r="AB31" i="32"/>
  <c r="AB32" i="32"/>
  <c r="R63" i="25"/>
  <c r="K63" i="25"/>
  <c r="O63" i="25" s="1"/>
  <c r="R62" i="25"/>
  <c r="K62" i="25"/>
  <c r="M62" i="25" s="1"/>
  <c r="F62" i="25"/>
  <c r="R60" i="25"/>
  <c r="K60" i="25"/>
  <c r="M60" i="25" s="1"/>
  <c r="R59" i="25"/>
  <c r="K59" i="25"/>
  <c r="O59" i="25" s="1"/>
  <c r="F59" i="25"/>
  <c r="R57" i="25"/>
  <c r="K57" i="25"/>
  <c r="O57" i="25" s="1"/>
  <c r="R56" i="25"/>
  <c r="K56" i="25"/>
  <c r="O56" i="25" s="1"/>
  <c r="F56" i="25"/>
  <c r="R54" i="25"/>
  <c r="K54" i="25"/>
  <c r="O54" i="25" s="1"/>
  <c r="R53" i="25"/>
  <c r="R55" i="25" s="1"/>
  <c r="K53" i="25"/>
  <c r="O53" i="25" s="1"/>
  <c r="F53" i="25"/>
  <c r="R51" i="25"/>
  <c r="K51" i="25"/>
  <c r="O51" i="25" s="1"/>
  <c r="R50" i="25"/>
  <c r="K50" i="25"/>
  <c r="O50" i="25" s="1"/>
  <c r="F50" i="25"/>
  <c r="R48" i="25"/>
  <c r="K48" i="25"/>
  <c r="O48" i="25" s="1"/>
  <c r="R47" i="25"/>
  <c r="K47" i="25"/>
  <c r="M47" i="25" s="1"/>
  <c r="F47" i="25"/>
  <c r="R45" i="25"/>
  <c r="K45" i="25"/>
  <c r="M45" i="25" s="1"/>
  <c r="R44" i="25"/>
  <c r="K44" i="25"/>
  <c r="O44" i="25" s="1"/>
  <c r="F44" i="25"/>
  <c r="R42" i="25"/>
  <c r="K42" i="25"/>
  <c r="M42" i="25" s="1"/>
  <c r="R41" i="25"/>
  <c r="K41" i="25"/>
  <c r="O41" i="25" s="1"/>
  <c r="F41" i="25"/>
  <c r="R39" i="25"/>
  <c r="K39" i="25"/>
  <c r="O39" i="25" s="1"/>
  <c r="R38" i="25"/>
  <c r="K38" i="25"/>
  <c r="O38" i="25" s="1"/>
  <c r="F38" i="25"/>
  <c r="K66" i="25"/>
  <c r="K65" i="25"/>
  <c r="K36" i="25"/>
  <c r="K35" i="25"/>
  <c r="K33" i="25"/>
  <c r="K32" i="25"/>
  <c r="K30" i="25"/>
  <c r="K29" i="25"/>
  <c r="K27" i="25"/>
  <c r="K26" i="25"/>
  <c r="K24" i="25"/>
  <c r="K23" i="25"/>
  <c r="K21" i="25"/>
  <c r="K20" i="25"/>
  <c r="K18" i="25"/>
  <c r="K17" i="25"/>
  <c r="K15" i="25"/>
  <c r="K14" i="25"/>
  <c r="K12" i="25"/>
  <c r="K11" i="25"/>
  <c r="K9" i="25"/>
  <c r="U20" i="37"/>
  <c r="U21" i="37"/>
  <c r="U22" i="37"/>
  <c r="U23" i="37"/>
  <c r="U24" i="37"/>
  <c r="U25" i="37"/>
  <c r="U26" i="37"/>
  <c r="U27" i="37"/>
  <c r="U28" i="37"/>
  <c r="U29" i="37"/>
  <c r="M20" i="37"/>
  <c r="W20" i="37" s="1"/>
  <c r="M21" i="37"/>
  <c r="Y21" i="37" s="1"/>
  <c r="M22" i="37"/>
  <c r="Y22" i="37" s="1"/>
  <c r="M23" i="37"/>
  <c r="X23" i="37" s="1"/>
  <c r="M24" i="37"/>
  <c r="W24" i="37" s="1"/>
  <c r="M25" i="37"/>
  <c r="Y25" i="37" s="1"/>
  <c r="M26" i="37"/>
  <c r="AA26" i="37" s="1"/>
  <c r="M27" i="37"/>
  <c r="AB27" i="37" s="1"/>
  <c r="M28" i="37"/>
  <c r="W28" i="37" s="1"/>
  <c r="M29" i="37"/>
  <c r="X29" i="37" s="1"/>
  <c r="H20" i="37"/>
  <c r="H21" i="37"/>
  <c r="H22" i="37"/>
  <c r="H23" i="37"/>
  <c r="H24" i="37"/>
  <c r="H25" i="37"/>
  <c r="H26" i="37"/>
  <c r="H27" i="37"/>
  <c r="H28" i="37"/>
  <c r="H29" i="37"/>
  <c r="B32" i="32" l="1"/>
  <c r="AF22" i="14" s="1"/>
  <c r="F63" i="25"/>
  <c r="B31" i="32"/>
  <c r="B21" i="14" s="1"/>
  <c r="F60" i="25"/>
  <c r="B30" i="32"/>
  <c r="N20" i="14" s="1"/>
  <c r="F57" i="25"/>
  <c r="B29" i="32"/>
  <c r="T19" i="14" s="1"/>
  <c r="F54" i="25"/>
  <c r="B28" i="32"/>
  <c r="H18" i="14" s="1"/>
  <c r="F51" i="25"/>
  <c r="B27" i="32"/>
  <c r="B17" i="14" s="1"/>
  <c r="F48" i="25"/>
  <c r="B26" i="32"/>
  <c r="N16" i="14" s="1"/>
  <c r="F45" i="25"/>
  <c r="B25" i="32"/>
  <c r="N15" i="14" s="1"/>
  <c r="F42" i="25"/>
  <c r="B24" i="32"/>
  <c r="AF14" i="14" s="1"/>
  <c r="F39" i="25"/>
  <c r="R58" i="25"/>
  <c r="R61" i="25"/>
  <c r="AA20" i="37"/>
  <c r="O8" i="25"/>
  <c r="P8" i="25" s="1"/>
  <c r="O47" i="25"/>
  <c r="P47" i="25" s="1"/>
  <c r="M51" i="25"/>
  <c r="P51" i="25" s="1"/>
  <c r="R40" i="25"/>
  <c r="R64" i="25"/>
  <c r="R43" i="25"/>
  <c r="R52" i="25"/>
  <c r="M63" i="25"/>
  <c r="P63" i="25" s="1"/>
  <c r="O62" i="25"/>
  <c r="P62" i="25" s="1"/>
  <c r="O60" i="25"/>
  <c r="P60" i="25" s="1"/>
  <c r="M59" i="25"/>
  <c r="P59" i="25" s="1"/>
  <c r="M38" i="25"/>
  <c r="P38" i="25" s="1"/>
  <c r="R49" i="25"/>
  <c r="R46" i="25"/>
  <c r="M56" i="25"/>
  <c r="P56" i="25" s="1"/>
  <c r="M57" i="25"/>
  <c r="P57" i="25" s="1"/>
  <c r="M54" i="25"/>
  <c r="P54" i="25" s="1"/>
  <c r="M53" i="25"/>
  <c r="P53" i="25" s="1"/>
  <c r="M50" i="25"/>
  <c r="P50" i="25" s="1"/>
  <c r="M48" i="25"/>
  <c r="P48" i="25" s="1"/>
  <c r="O45" i="25"/>
  <c r="P45" i="25" s="1"/>
  <c r="M44" i="25"/>
  <c r="P44" i="25" s="1"/>
  <c r="O42" i="25"/>
  <c r="P42" i="25" s="1"/>
  <c r="M41" i="25"/>
  <c r="P41" i="25" s="1"/>
  <c r="M39" i="25"/>
  <c r="P39" i="25" s="1"/>
  <c r="AA27" i="37"/>
  <c r="W25" i="37"/>
  <c r="Z22" i="37"/>
  <c r="X21" i="37"/>
  <c r="W27" i="37"/>
  <c r="AB23" i="37"/>
  <c r="W21" i="37"/>
  <c r="Z26" i="37"/>
  <c r="AB20" i="37"/>
  <c r="Y26" i="37"/>
  <c r="AA29" i="37"/>
  <c r="AB25" i="37"/>
  <c r="Z20" i="37"/>
  <c r="Z29" i="37"/>
  <c r="AA25" i="37"/>
  <c r="AB21" i="37"/>
  <c r="Y20" i="37"/>
  <c r="Y29" i="37"/>
  <c r="Z25" i="37"/>
  <c r="AA21" i="37"/>
  <c r="X20" i="37"/>
  <c r="W29" i="37"/>
  <c r="AC29" i="37" s="1"/>
  <c r="AD29" i="37" s="1"/>
  <c r="X25" i="37"/>
  <c r="Z21" i="37"/>
  <c r="AB28" i="37"/>
  <c r="Z27" i="37"/>
  <c r="AA23" i="37"/>
  <c r="AA28" i="37"/>
  <c r="Y27" i="37"/>
  <c r="X26" i="37"/>
  <c r="AB24" i="37"/>
  <c r="Z23" i="37"/>
  <c r="X22" i="37"/>
  <c r="AB29" i="37"/>
  <c r="Z28" i="37"/>
  <c r="X27" i="37"/>
  <c r="W26" i="37"/>
  <c r="AA24" i="37"/>
  <c r="Y23" i="37"/>
  <c r="W22" i="37"/>
  <c r="Y28" i="37"/>
  <c r="Z24" i="37"/>
  <c r="X28" i="37"/>
  <c r="Y24" i="37"/>
  <c r="W23" i="37"/>
  <c r="AB26" i="37"/>
  <c r="X24" i="37"/>
  <c r="AB22" i="37"/>
  <c r="AA22" i="37"/>
  <c r="H21" i="14" l="1"/>
  <c r="N19" i="14"/>
  <c r="N21" i="14"/>
  <c r="H15" i="14"/>
  <c r="H16" i="14"/>
  <c r="Z22" i="14"/>
  <c r="Z15" i="14"/>
  <c r="AF21" i="14"/>
  <c r="T16" i="14"/>
  <c r="Z21" i="14"/>
  <c r="H22" i="14"/>
  <c r="N22" i="14"/>
  <c r="T20" i="14"/>
  <c r="AF19" i="14"/>
  <c r="AF20" i="14"/>
  <c r="B19" i="14"/>
  <c r="B22" i="14"/>
  <c r="T22" i="14"/>
  <c r="T21" i="14"/>
  <c r="Z16" i="14"/>
  <c r="B20" i="14"/>
  <c r="H20" i="14"/>
  <c r="B16" i="14"/>
  <c r="B15" i="14"/>
  <c r="Z18" i="14"/>
  <c r="N18" i="14"/>
  <c r="Z19" i="14"/>
  <c r="N17" i="14"/>
  <c r="T17" i="14"/>
  <c r="H19" i="14"/>
  <c r="H17" i="14"/>
  <c r="Z20" i="14"/>
  <c r="B18" i="14"/>
  <c r="AF17" i="14"/>
  <c r="Z17" i="14"/>
  <c r="AF16" i="14"/>
  <c r="T15" i="14"/>
  <c r="AF15" i="14"/>
  <c r="T18" i="14"/>
  <c r="AF18" i="14"/>
  <c r="Z14" i="14"/>
  <c r="H14" i="14"/>
  <c r="B14" i="14"/>
  <c r="T14" i="14"/>
  <c r="N14" i="14"/>
  <c r="AC28" i="37"/>
  <c r="AD28" i="37" s="1"/>
  <c r="AC21" i="37"/>
  <c r="AD21" i="37" s="1"/>
  <c r="AC20" i="37"/>
  <c r="AD20" i="37" s="1"/>
  <c r="AC25" i="37"/>
  <c r="AD25" i="37" s="1"/>
  <c r="AC24" i="37"/>
  <c r="AD24" i="37" s="1"/>
  <c r="AC22" i="37"/>
  <c r="AD22" i="37" s="1"/>
  <c r="AC26" i="37"/>
  <c r="AD26" i="37" s="1"/>
  <c r="AC27" i="37"/>
  <c r="AD27" i="37" s="1"/>
  <c r="AC23" i="37"/>
  <c r="AD23" i="37" s="1"/>
  <c r="AH76" i="14" l="1"/>
  <c r="AI76" i="14"/>
  <c r="AB76" i="14"/>
  <c r="AC76" i="14"/>
  <c r="W76" i="14"/>
  <c r="V76" i="14"/>
  <c r="Q76" i="14"/>
  <c r="P76" i="14"/>
  <c r="J76" i="14"/>
  <c r="K76" i="14"/>
  <c r="D76" i="14"/>
  <c r="E76" i="14"/>
  <c r="U8" i="37"/>
  <c r="U9" i="37"/>
  <c r="U10" i="37"/>
  <c r="U11" i="37"/>
  <c r="U12" i="37"/>
  <c r="U13" i="37"/>
  <c r="U14" i="37"/>
  <c r="U15" i="37"/>
  <c r="U16" i="37"/>
  <c r="U17" i="37"/>
  <c r="U18" i="37"/>
  <c r="U19" i="37"/>
  <c r="U30" i="37"/>
  <c r="U31" i="37"/>
  <c r="U32" i="37"/>
  <c r="U33" i="37"/>
  <c r="U34" i="37"/>
  <c r="U7" i="37"/>
  <c r="AB5" i="37"/>
  <c r="AA5" i="37"/>
  <c r="Z5" i="37"/>
  <c r="Y5" i="37"/>
  <c r="X5" i="37"/>
  <c r="W5" i="37"/>
  <c r="T5" i="37"/>
  <c r="S5" i="37"/>
  <c r="P5" i="37"/>
  <c r="O5" i="37"/>
  <c r="Q5" i="37"/>
  <c r="R5" i="37"/>
  <c r="AF67" i="14"/>
  <c r="AF66" i="14"/>
  <c r="Z67" i="14"/>
  <c r="Z66" i="14"/>
  <c r="T67" i="14"/>
  <c r="T66" i="14"/>
  <c r="N67" i="14"/>
  <c r="N66" i="14"/>
  <c r="H67" i="14"/>
  <c r="H66" i="14"/>
  <c r="AG72" i="14"/>
  <c r="AI66" i="14"/>
  <c r="AA72" i="14"/>
  <c r="AC66" i="14"/>
  <c r="U72" i="14"/>
  <c r="W66" i="14"/>
  <c r="O72" i="14"/>
  <c r="Q66" i="14"/>
  <c r="I72" i="14"/>
  <c r="K66" i="14"/>
  <c r="AG53" i="14"/>
  <c r="AA53" i="14"/>
  <c r="U53" i="14"/>
  <c r="O53" i="14"/>
  <c r="I53" i="14"/>
  <c r="C53" i="14"/>
  <c r="AI51" i="14"/>
  <c r="AC51" i="14"/>
  <c r="W51" i="14"/>
  <c r="Q51" i="14"/>
  <c r="K51" i="14"/>
  <c r="E51" i="14"/>
  <c r="AI38" i="14"/>
  <c r="AC38" i="14"/>
  <c r="Q38" i="14"/>
  <c r="K38" i="14"/>
  <c r="E38" i="14"/>
  <c r="AH51" i="14"/>
  <c r="AB51" i="14"/>
  <c r="V51" i="14"/>
  <c r="P51" i="14"/>
  <c r="J51" i="14"/>
  <c r="D51" i="14"/>
  <c r="AH43" i="14"/>
  <c r="AB43" i="14"/>
  <c r="V43" i="14"/>
  <c r="P43" i="14"/>
  <c r="J43" i="14"/>
  <c r="D43" i="14"/>
  <c r="AH38" i="14"/>
  <c r="AB38" i="14"/>
  <c r="V38" i="14"/>
  <c r="P38" i="14"/>
  <c r="J38" i="14"/>
  <c r="D38" i="14"/>
  <c r="P34" i="32"/>
  <c r="V53" i="14" l="1"/>
  <c r="J53" i="14"/>
  <c r="D53" i="14"/>
  <c r="P53" i="14"/>
  <c r="AH53" i="14"/>
  <c r="AB53" i="14"/>
  <c r="A2" i="32" l="1"/>
  <c r="H9" i="37"/>
  <c r="L9" i="37" s="1"/>
  <c r="F32" i="25"/>
  <c r="F33" i="25" s="1"/>
  <c r="F35" i="25"/>
  <c r="F36" i="25" s="1"/>
  <c r="F65" i="25"/>
  <c r="F66" i="25" s="1"/>
  <c r="F14" i="25"/>
  <c r="F15" i="25" s="1"/>
  <c r="F17" i="25"/>
  <c r="F18" i="25" s="1"/>
  <c r="F20" i="25"/>
  <c r="F21" i="25" s="1"/>
  <c r="F23" i="25"/>
  <c r="F24" i="25" s="1"/>
  <c r="F26" i="25"/>
  <c r="F27" i="25" s="1"/>
  <c r="F29" i="25"/>
  <c r="F30" i="25" s="1"/>
  <c r="F8" i="25"/>
  <c r="A4" i="25"/>
  <c r="AH5" i="19"/>
  <c r="AG5" i="19"/>
  <c r="AF5" i="19"/>
  <c r="AE5" i="19"/>
  <c r="AD5" i="19"/>
  <c r="AC5" i="19"/>
  <c r="H38" i="19"/>
  <c r="K56" i="14" s="1"/>
  <c r="I38" i="19"/>
  <c r="J38" i="19"/>
  <c r="K38" i="19"/>
  <c r="L38" i="19"/>
  <c r="G38" i="19"/>
  <c r="A2" i="19"/>
  <c r="H7" i="37"/>
  <c r="L7" i="37" s="1"/>
  <c r="M7" i="37" s="1"/>
  <c r="F35" i="40"/>
  <c r="F36" i="40"/>
  <c r="F37" i="40"/>
  <c r="F34" i="40"/>
  <c r="B26" i="40"/>
  <c r="S26" i="40" s="1"/>
  <c r="C26" i="40"/>
  <c r="T26" i="40" s="1"/>
  <c r="D26" i="40"/>
  <c r="U26" i="40" s="1"/>
  <c r="E26" i="40"/>
  <c r="V26" i="40" s="1"/>
  <c r="F26" i="40"/>
  <c r="W26" i="40" s="1"/>
  <c r="G26" i="40"/>
  <c r="X26" i="40" s="1"/>
  <c r="H25" i="40"/>
  <c r="Y25" i="40" s="1"/>
  <c r="C20" i="40"/>
  <c r="T20" i="40" s="1"/>
  <c r="D20" i="40"/>
  <c r="U20" i="40" s="1"/>
  <c r="E20" i="40"/>
  <c r="V20" i="40" s="1"/>
  <c r="F20" i="40"/>
  <c r="W20" i="40" s="1"/>
  <c r="G20" i="40"/>
  <c r="X20" i="40" s="1"/>
  <c r="B20" i="40"/>
  <c r="S20" i="40" s="1"/>
  <c r="H18" i="40"/>
  <c r="Y18" i="40" s="1"/>
  <c r="A6" i="40"/>
  <c r="G24" i="42"/>
  <c r="F24" i="42"/>
  <c r="E24" i="42"/>
  <c r="D24" i="42"/>
  <c r="C24" i="42"/>
  <c r="B24" i="42"/>
  <c r="G23" i="42"/>
  <c r="F23" i="42"/>
  <c r="E23" i="42"/>
  <c r="D23" i="42"/>
  <c r="C23" i="42"/>
  <c r="B23" i="42"/>
  <c r="G22" i="42"/>
  <c r="F22" i="42"/>
  <c r="E22" i="42"/>
  <c r="E26" i="42" s="1"/>
  <c r="D22" i="42"/>
  <c r="D26" i="42" s="1"/>
  <c r="C22" i="42"/>
  <c r="B22" i="42"/>
  <c r="G19" i="42"/>
  <c r="F19" i="42"/>
  <c r="E19" i="42"/>
  <c r="D19" i="42"/>
  <c r="D20" i="42" s="1"/>
  <c r="C19" i="42"/>
  <c r="B19" i="42"/>
  <c r="G18" i="42"/>
  <c r="F18" i="42"/>
  <c r="E18" i="42"/>
  <c r="D18" i="42"/>
  <c r="C18" i="42"/>
  <c r="B18" i="42"/>
  <c r="C11" i="42"/>
  <c r="C14" i="42" s="1"/>
  <c r="D11" i="42"/>
  <c r="E11" i="42"/>
  <c r="F11" i="42"/>
  <c r="G11" i="42"/>
  <c r="C12" i="42"/>
  <c r="D12" i="42"/>
  <c r="E12" i="42"/>
  <c r="F12" i="42"/>
  <c r="G12" i="42"/>
  <c r="B12" i="42"/>
  <c r="B11" i="42"/>
  <c r="B14" i="42" s="1"/>
  <c r="X24" i="42"/>
  <c r="X23" i="42"/>
  <c r="X22" i="42"/>
  <c r="X26" i="42" s="1"/>
  <c r="W20" i="42"/>
  <c r="V20" i="42"/>
  <c r="U20" i="42"/>
  <c r="U27" i="42" s="1"/>
  <c r="T20" i="42"/>
  <c r="S20" i="42"/>
  <c r="R20" i="42"/>
  <c r="X19" i="42"/>
  <c r="X18" i="42"/>
  <c r="X12" i="42"/>
  <c r="X11" i="42"/>
  <c r="X14" i="42" s="1"/>
  <c r="W10" i="42"/>
  <c r="V10" i="42"/>
  <c r="U10" i="42"/>
  <c r="T10" i="42"/>
  <c r="S10" i="42"/>
  <c r="R10" i="42"/>
  <c r="P24" i="42"/>
  <c r="P23" i="42"/>
  <c r="P22" i="42"/>
  <c r="P26" i="42" s="1"/>
  <c r="O20" i="42"/>
  <c r="O27" i="42" s="1"/>
  <c r="O29" i="42" s="1"/>
  <c r="N20" i="42"/>
  <c r="M20" i="42"/>
  <c r="M27" i="42" s="1"/>
  <c r="L20" i="42"/>
  <c r="K20" i="42"/>
  <c r="K27" i="42" s="1"/>
  <c r="J20" i="42"/>
  <c r="J27" i="42" s="1"/>
  <c r="P19" i="42"/>
  <c r="P18" i="42"/>
  <c r="P12" i="42"/>
  <c r="P11" i="42"/>
  <c r="O10" i="42"/>
  <c r="N10" i="42"/>
  <c r="M10" i="42"/>
  <c r="L10" i="42"/>
  <c r="K10" i="42"/>
  <c r="J10" i="42"/>
  <c r="E20" i="42"/>
  <c r="F20" i="42"/>
  <c r="A6" i="42"/>
  <c r="F26" i="42" l="1"/>
  <c r="G26" i="42"/>
  <c r="B20" i="42"/>
  <c r="P14" i="42"/>
  <c r="B26" i="42"/>
  <c r="C26" i="42"/>
  <c r="F38" i="40"/>
  <c r="B17" i="32"/>
  <c r="B16" i="32"/>
  <c r="B15" i="32"/>
  <c r="B21" i="32"/>
  <c r="B23" i="32"/>
  <c r="B33" i="32"/>
  <c r="B20" i="32"/>
  <c r="B22" i="32"/>
  <c r="B19" i="32"/>
  <c r="B18" i="32"/>
  <c r="B14" i="32"/>
  <c r="F14" i="42"/>
  <c r="E14" i="42"/>
  <c r="S27" i="42"/>
  <c r="S29" i="42" s="1"/>
  <c r="D14" i="42"/>
  <c r="P20" i="42"/>
  <c r="W27" i="42"/>
  <c r="W29" i="42" s="1"/>
  <c r="X20" i="42"/>
  <c r="X27" i="42" s="1"/>
  <c r="X29" i="42" s="1"/>
  <c r="G14" i="42"/>
  <c r="V27" i="42"/>
  <c r="V29" i="42" s="1"/>
  <c r="P27" i="42"/>
  <c r="P29" i="42" s="1"/>
  <c r="N27" i="42"/>
  <c r="N29" i="42" s="1"/>
  <c r="R27" i="42"/>
  <c r="R29" i="42" s="1"/>
  <c r="G20" i="42"/>
  <c r="G27" i="42" s="1"/>
  <c r="D27" i="42"/>
  <c r="F27" i="42"/>
  <c r="L27" i="42"/>
  <c r="L29" i="42" s="1"/>
  <c r="T27" i="42"/>
  <c r="T29" i="42" s="1"/>
  <c r="C20" i="42"/>
  <c r="C27" i="42" s="1"/>
  <c r="W7" i="37"/>
  <c r="X7" i="37"/>
  <c r="Y7" i="37"/>
  <c r="Z7" i="37"/>
  <c r="AA7" i="37"/>
  <c r="AB7" i="37"/>
  <c r="U29" i="42"/>
  <c r="M29" i="42"/>
  <c r="J29" i="42"/>
  <c r="K29" i="42"/>
  <c r="E27" i="42"/>
  <c r="H18" i="42"/>
  <c r="B27" i="42"/>
  <c r="H24" i="42"/>
  <c r="H23" i="42"/>
  <c r="H22" i="42"/>
  <c r="H26" i="42" s="1"/>
  <c r="H19" i="42"/>
  <c r="H12" i="42"/>
  <c r="H11" i="42"/>
  <c r="H14" i="42" s="1"/>
  <c r="G10" i="42"/>
  <c r="F10" i="42"/>
  <c r="E10" i="42"/>
  <c r="D10" i="42"/>
  <c r="C10" i="42"/>
  <c r="B10" i="42"/>
  <c r="AF23" i="14" l="1"/>
  <c r="H23" i="14"/>
  <c r="B23" i="14"/>
  <c r="Z23" i="14"/>
  <c r="T23" i="14"/>
  <c r="N23" i="14"/>
  <c r="B12" i="14"/>
  <c r="B11" i="14"/>
  <c r="B10" i="14"/>
  <c r="B8" i="14"/>
  <c r="B6" i="14"/>
  <c r="B13" i="14"/>
  <c r="B7" i="14"/>
  <c r="B9" i="14"/>
  <c r="AC7" i="37"/>
  <c r="H20" i="42"/>
  <c r="F29" i="42"/>
  <c r="E29" i="42"/>
  <c r="B29" i="42"/>
  <c r="C29" i="42"/>
  <c r="D29" i="42"/>
  <c r="G29" i="42"/>
  <c r="C72" i="14"/>
  <c r="E66" i="14"/>
  <c r="H27" i="42" l="1"/>
  <c r="H29" i="42" s="1"/>
  <c r="AD7" i="37"/>
  <c r="D38" i="40" l="1"/>
  <c r="E38" i="40" l="1"/>
  <c r="C38" i="40" l="1"/>
  <c r="B38" i="40"/>
  <c r="L5" i="19" l="1"/>
  <c r="K5" i="19"/>
  <c r="J5" i="19"/>
  <c r="I5" i="19"/>
  <c r="H5" i="19"/>
  <c r="G5" i="19"/>
  <c r="S5" i="19" l="1"/>
  <c r="R5" i="19"/>
  <c r="Q5" i="19"/>
  <c r="W38" i="14"/>
  <c r="H24" i="40"/>
  <c r="Y24" i="40" s="1"/>
  <c r="H23" i="40"/>
  <c r="Y23" i="40" s="1"/>
  <c r="H22" i="40"/>
  <c r="Y22" i="40" s="1"/>
  <c r="H19" i="40"/>
  <c r="Y19" i="40" s="1"/>
  <c r="H12" i="40"/>
  <c r="Y12" i="40" s="1"/>
  <c r="H11" i="40"/>
  <c r="Y11" i="40" s="1"/>
  <c r="G10" i="40"/>
  <c r="E27" i="31"/>
  <c r="F15" i="31"/>
  <c r="D27" i="31" s="1"/>
  <c r="A15" i="31"/>
  <c r="A27" i="31" s="1"/>
  <c r="AG4" i="14"/>
  <c r="AE1" i="14"/>
  <c r="Z34" i="32"/>
  <c r="AB15" i="32"/>
  <c r="AB16" i="32"/>
  <c r="AB17" i="32"/>
  <c r="AB18" i="32"/>
  <c r="AB19" i="32"/>
  <c r="AB20" i="32"/>
  <c r="AB21" i="32"/>
  <c r="AB22" i="32"/>
  <c r="AB23" i="32"/>
  <c r="AB33" i="32"/>
  <c r="Z12" i="32"/>
  <c r="H14" i="40" l="1"/>
  <c r="Y14" i="40" s="1"/>
  <c r="H20" i="40"/>
  <c r="Y20" i="40" s="1"/>
  <c r="H26" i="40"/>
  <c r="Y26" i="40" s="1"/>
  <c r="AG24" i="14"/>
  <c r="AG55" i="14" s="1"/>
  <c r="E27" i="40"/>
  <c r="G27" i="40"/>
  <c r="C27" i="40"/>
  <c r="F27" i="40"/>
  <c r="D27" i="40"/>
  <c r="F14" i="31"/>
  <c r="D26" i="31" s="1"/>
  <c r="F13" i="31"/>
  <c r="D25" i="31" s="1"/>
  <c r="A14" i="31"/>
  <c r="AA4" i="14"/>
  <c r="U4" i="14"/>
  <c r="W36" i="32"/>
  <c r="Y36" i="32"/>
  <c r="X34" i="32"/>
  <c r="X36" i="32" s="1"/>
  <c r="V34" i="32"/>
  <c r="V36" i="32" s="1"/>
  <c r="T34" i="32"/>
  <c r="R34" i="32"/>
  <c r="K34" i="32"/>
  <c r="J34" i="32"/>
  <c r="I34" i="32"/>
  <c r="H34" i="32"/>
  <c r="G34" i="32"/>
  <c r="E25" i="31"/>
  <c r="E26" i="31"/>
  <c r="A13" i="31"/>
  <c r="A25" i="31" s="1"/>
  <c r="H13" i="32"/>
  <c r="K13" i="32"/>
  <c r="X12" i="32"/>
  <c r="V12" i="32"/>
  <c r="Y1" i="14"/>
  <c r="S1" i="14"/>
  <c r="F29" i="40" l="1"/>
  <c r="W27" i="40"/>
  <c r="G29" i="40"/>
  <c r="X27" i="40"/>
  <c r="E29" i="40"/>
  <c r="V27" i="40"/>
  <c r="C29" i="40"/>
  <c r="T27" i="40"/>
  <c r="D29" i="40"/>
  <c r="U27" i="40"/>
  <c r="U24" i="14"/>
  <c r="U55" i="14" s="1"/>
  <c r="AA24" i="14"/>
  <c r="AA55" i="14" s="1"/>
  <c r="H27" i="40"/>
  <c r="B27" i="40"/>
  <c r="F10" i="40"/>
  <c r="E10" i="40"/>
  <c r="D10" i="40"/>
  <c r="C10" i="40"/>
  <c r="B10" i="40"/>
  <c r="H28" i="40" l="1"/>
  <c r="Y27" i="40"/>
  <c r="U74" i="14"/>
  <c r="U76" i="14" s="1"/>
  <c r="W59" i="14" s="1"/>
  <c r="V29" i="40"/>
  <c r="B29" i="40"/>
  <c r="S29" i="40" s="1"/>
  <c r="S27" i="40"/>
  <c r="I74" i="14"/>
  <c r="I76" i="14" s="1"/>
  <c r="K59" i="14" s="1"/>
  <c r="T29" i="40"/>
  <c r="AG74" i="14"/>
  <c r="AG76" i="14" s="1"/>
  <c r="AI59" i="14" s="1"/>
  <c r="X29" i="40"/>
  <c r="O74" i="14"/>
  <c r="O76" i="14" s="1"/>
  <c r="Q59" i="14" s="1"/>
  <c r="U29" i="40"/>
  <c r="AA74" i="14"/>
  <c r="AA76" i="14" s="1"/>
  <c r="AC59" i="14" s="1"/>
  <c r="W29" i="40"/>
  <c r="H29" i="40"/>
  <c r="Y29" i="40" s="1"/>
  <c r="C74" i="14" l="1"/>
  <c r="P12" i="32"/>
  <c r="P36" i="32" l="1"/>
  <c r="E56" i="14" s="1"/>
  <c r="AB34" i="32"/>
  <c r="AB36" i="32" s="1"/>
  <c r="M9" i="37" l="1"/>
  <c r="H10" i="37"/>
  <c r="H11" i="37"/>
  <c r="L11" i="37" s="1"/>
  <c r="H12" i="37"/>
  <c r="H13" i="37"/>
  <c r="M13" i="37" s="1"/>
  <c r="H14" i="37"/>
  <c r="M14" i="37" s="1"/>
  <c r="H15" i="37"/>
  <c r="H16" i="37"/>
  <c r="M16" i="37" s="1"/>
  <c r="H17" i="37"/>
  <c r="M17" i="37" s="1"/>
  <c r="H18" i="37"/>
  <c r="M18" i="37" s="1"/>
  <c r="H19" i="37"/>
  <c r="H30" i="37"/>
  <c r="M30" i="37" s="1"/>
  <c r="H31" i="37"/>
  <c r="M31" i="37" s="1"/>
  <c r="F35" i="37"/>
  <c r="E35" i="37"/>
  <c r="H34" i="37"/>
  <c r="M34" i="37" s="1"/>
  <c r="H33" i="37"/>
  <c r="M33" i="37" s="1"/>
  <c r="H32" i="37"/>
  <c r="M32" i="37" s="1"/>
  <c r="H8" i="37"/>
  <c r="L12" i="37" l="1"/>
  <c r="M12" i="37" s="1"/>
  <c r="L8" i="37"/>
  <c r="M8" i="37" s="1"/>
  <c r="L10" i="37"/>
  <c r="M10" i="37" s="1"/>
  <c r="AA14" i="37"/>
  <c r="AB14" i="37"/>
  <c r="Z14" i="37"/>
  <c r="W14" i="37"/>
  <c r="X14" i="37"/>
  <c r="Y14" i="37"/>
  <c r="Y13" i="37"/>
  <c r="Z13" i="37"/>
  <c r="AA13" i="37"/>
  <c r="X13" i="37"/>
  <c r="AB13" i="37"/>
  <c r="W13" i="37"/>
  <c r="W34" i="37"/>
  <c r="X34" i="37"/>
  <c r="Y34" i="37"/>
  <c r="Z34" i="37"/>
  <c r="AA34" i="37"/>
  <c r="AB34" i="37"/>
  <c r="Y31" i="37"/>
  <c r="Z31" i="37"/>
  <c r="AA31" i="37"/>
  <c r="AB31" i="37"/>
  <c r="X31" i="37"/>
  <c r="W31" i="37"/>
  <c r="AA32" i="37"/>
  <c r="AB32" i="37"/>
  <c r="W32" i="37"/>
  <c r="Z32" i="37"/>
  <c r="X32" i="37"/>
  <c r="Y32" i="37"/>
  <c r="AA18" i="37"/>
  <c r="AB18" i="37"/>
  <c r="Z18" i="37"/>
  <c r="W18" i="37"/>
  <c r="X18" i="37"/>
  <c r="Y18" i="37"/>
  <c r="W16" i="37"/>
  <c r="X16" i="37"/>
  <c r="Y16" i="37"/>
  <c r="Z16" i="37"/>
  <c r="AA16" i="37"/>
  <c r="AB16" i="37"/>
  <c r="W30" i="37"/>
  <c r="X30" i="37"/>
  <c r="Y30" i="37"/>
  <c r="Z30" i="37"/>
  <c r="AA30" i="37"/>
  <c r="AB30" i="37"/>
  <c r="W33" i="37"/>
  <c r="AB33" i="37"/>
  <c r="X33" i="37"/>
  <c r="Y33" i="37"/>
  <c r="Z33" i="37"/>
  <c r="AA33" i="37"/>
  <c r="Y17" i="37"/>
  <c r="X17" i="37"/>
  <c r="Z17" i="37"/>
  <c r="AA17" i="37"/>
  <c r="AB17" i="37"/>
  <c r="W17" i="37"/>
  <c r="Y9" i="37"/>
  <c r="Z9" i="37"/>
  <c r="AA9" i="37"/>
  <c r="AB9" i="37"/>
  <c r="W9" i="37"/>
  <c r="X9" i="37"/>
  <c r="M15" i="37"/>
  <c r="M19" i="37"/>
  <c r="M11" i="37"/>
  <c r="H35" i="37"/>
  <c r="W10" i="37" l="1"/>
  <c r="X10" i="37"/>
  <c r="Z10" i="37"/>
  <c r="Y10" i="37"/>
  <c r="AB10" i="37"/>
  <c r="AA10" i="37"/>
  <c r="AA8" i="37"/>
  <c r="AB8" i="37"/>
  <c r="W8" i="37"/>
  <c r="X8" i="37"/>
  <c r="K41" i="14" s="1"/>
  <c r="Z8" i="37"/>
  <c r="Y8" i="37"/>
  <c r="Q42" i="14" s="1"/>
  <c r="AB12" i="37"/>
  <c r="W12" i="37"/>
  <c r="X12" i="37"/>
  <c r="Y12" i="37"/>
  <c r="Z12" i="37"/>
  <c r="AA12" i="37"/>
  <c r="K42" i="14"/>
  <c r="E42" i="14"/>
  <c r="AI42" i="14"/>
  <c r="AC42" i="14"/>
  <c r="W42" i="14"/>
  <c r="AC33" i="37"/>
  <c r="AD33" i="37" s="1"/>
  <c r="AC9" i="37"/>
  <c r="AD9" i="37" s="1"/>
  <c r="AC16" i="37"/>
  <c r="AD16" i="37" s="1"/>
  <c r="AC32" i="37"/>
  <c r="AD32" i="37" s="1"/>
  <c r="AC18" i="37"/>
  <c r="AD18" i="37" s="1"/>
  <c r="AC31" i="37"/>
  <c r="AD31" i="37" s="1"/>
  <c r="AC17" i="37"/>
  <c r="AD17" i="37" s="1"/>
  <c r="AC30" i="37"/>
  <c r="AD30" i="37" s="1"/>
  <c r="AC13" i="37"/>
  <c r="AD13" i="37" s="1"/>
  <c r="AC14" i="37"/>
  <c r="AD14" i="37" s="1"/>
  <c r="AC34" i="37"/>
  <c r="AD34" i="37" s="1"/>
  <c r="AB15" i="37"/>
  <c r="W15" i="37"/>
  <c r="X15" i="37"/>
  <c r="Y15" i="37"/>
  <c r="Z15" i="37"/>
  <c r="AA15" i="37"/>
  <c r="AB19" i="37"/>
  <c r="W19" i="37"/>
  <c r="X19" i="37"/>
  <c r="Y19" i="37"/>
  <c r="Z19" i="37"/>
  <c r="AA19" i="37"/>
  <c r="W11" i="37"/>
  <c r="E41" i="14" s="1"/>
  <c r="X11" i="37"/>
  <c r="Y11" i="37"/>
  <c r="Q41" i="14" s="1"/>
  <c r="AB11" i="37"/>
  <c r="Z11" i="37"/>
  <c r="W41" i="14" s="1"/>
  <c r="AA11" i="37"/>
  <c r="AC41" i="14" s="1"/>
  <c r="M35" i="37"/>
  <c r="AF10" i="14"/>
  <c r="AF11" i="14"/>
  <c r="AF12" i="14"/>
  <c r="AF13" i="14"/>
  <c r="AC10" i="37" l="1"/>
  <c r="AD10" i="37" s="1"/>
  <c r="Q43" i="14"/>
  <c r="Q53" i="14" s="1"/>
  <c r="P71" i="14" s="1"/>
  <c r="Q71" i="14" s="1"/>
  <c r="AC8" i="37"/>
  <c r="AC12" i="37"/>
  <c r="AD12" i="37" s="1"/>
  <c r="AB35" i="37"/>
  <c r="K43" i="14"/>
  <c r="K53" i="14" s="1"/>
  <c r="E43" i="14"/>
  <c r="E53" i="14" s="1"/>
  <c r="D71" i="14" s="1"/>
  <c r="E71" i="14" s="1"/>
  <c r="AC43" i="14"/>
  <c r="AC53" i="14" s="1"/>
  <c r="AB71" i="14" s="1"/>
  <c r="AC71" i="14" s="1"/>
  <c r="W43" i="14"/>
  <c r="W53" i="14" s="1"/>
  <c r="V71" i="14" s="1"/>
  <c r="W71" i="14" s="1"/>
  <c r="AI41" i="14"/>
  <c r="AI43" i="14" s="1"/>
  <c r="AI53" i="14" s="1"/>
  <c r="AH71" i="14" s="1"/>
  <c r="AI71" i="14" s="1"/>
  <c r="Y35" i="37"/>
  <c r="W35" i="37"/>
  <c r="X35" i="37"/>
  <c r="AA35" i="37"/>
  <c r="Z35" i="37"/>
  <c r="AD8" i="37"/>
  <c r="AC19" i="37"/>
  <c r="AD19" i="37" s="1"/>
  <c r="AC15" i="37"/>
  <c r="AD15" i="37" s="1"/>
  <c r="AC11" i="37"/>
  <c r="AD11" i="37" s="1"/>
  <c r="Z12" i="14"/>
  <c r="T12" i="14"/>
  <c r="Z11" i="14"/>
  <c r="T11" i="14"/>
  <c r="Z10" i="14"/>
  <c r="T10" i="14"/>
  <c r="T13" i="14"/>
  <c r="Z13" i="14"/>
  <c r="R66" i="25"/>
  <c r="R65" i="25"/>
  <c r="R67" i="25" s="1"/>
  <c r="R36" i="25"/>
  <c r="R35" i="25"/>
  <c r="R33" i="25"/>
  <c r="R32" i="25"/>
  <c r="R34" i="25" s="1"/>
  <c r="R30" i="25"/>
  <c r="R29" i="25"/>
  <c r="R27" i="25"/>
  <c r="R26" i="25"/>
  <c r="R24" i="25"/>
  <c r="R23" i="25"/>
  <c r="R21" i="25"/>
  <c r="R20" i="25"/>
  <c r="R22" i="25" s="1"/>
  <c r="R18" i="25"/>
  <c r="R17" i="25"/>
  <c r="R15" i="25"/>
  <c r="R14" i="25"/>
  <c r="R12" i="25"/>
  <c r="R11" i="25"/>
  <c r="O4" i="14"/>
  <c r="I4" i="14"/>
  <c r="O65" i="25"/>
  <c r="O35" i="25"/>
  <c r="O32" i="25"/>
  <c r="O29" i="25"/>
  <c r="O26" i="25"/>
  <c r="R25" i="25" l="1"/>
  <c r="R13" i="25"/>
  <c r="D12" i="31"/>
  <c r="R28" i="25"/>
  <c r="R37" i="25"/>
  <c r="D13" i="31"/>
  <c r="D15" i="31"/>
  <c r="D14" i="31"/>
  <c r="J71" i="14"/>
  <c r="K71" i="14" s="1"/>
  <c r="D11" i="31"/>
  <c r="AC35" i="37"/>
  <c r="C24" i="14"/>
  <c r="C55" i="14" s="1"/>
  <c r="O24" i="14"/>
  <c r="O55" i="14" s="1"/>
  <c r="I24" i="14"/>
  <c r="I55" i="14" s="1"/>
  <c r="R31" i="25"/>
  <c r="R19" i="25"/>
  <c r="R16" i="25"/>
  <c r="M65" i="25"/>
  <c r="M35" i="25"/>
  <c r="M32" i="25"/>
  <c r="M29" i="25"/>
  <c r="M26" i="25"/>
  <c r="F10" i="31"/>
  <c r="E24" i="31"/>
  <c r="E23" i="31"/>
  <c r="P5" i="19"/>
  <c r="O5" i="19"/>
  <c r="N5" i="19"/>
  <c r="M1" i="14"/>
  <c r="G1" i="14"/>
  <c r="A1" i="14"/>
  <c r="R9" i="25"/>
  <c r="D14" i="32" l="1"/>
  <c r="C14" i="32" s="1"/>
  <c r="R10" i="25"/>
  <c r="R69" i="25" s="1"/>
  <c r="D28" i="32"/>
  <c r="D31" i="32"/>
  <c r="D21" i="32"/>
  <c r="C21" i="32" s="1"/>
  <c r="F21" i="32" s="1"/>
  <c r="D30" i="32"/>
  <c r="D19" i="32"/>
  <c r="C19" i="32" s="1"/>
  <c r="F19" i="32" s="1"/>
  <c r="D22" i="32"/>
  <c r="C22" i="32" s="1"/>
  <c r="F22" i="32" s="1"/>
  <c r="D20" i="32"/>
  <c r="C20" i="32" s="1"/>
  <c r="F20" i="32" s="1"/>
  <c r="D26" i="32"/>
  <c r="D18" i="32"/>
  <c r="C18" i="32" s="1"/>
  <c r="F18" i="32" s="1"/>
  <c r="D33" i="32"/>
  <c r="C33" i="32" s="1"/>
  <c r="F33" i="32" s="1"/>
  <c r="D29" i="32"/>
  <c r="D25" i="32"/>
  <c r="D16" i="32"/>
  <c r="C16" i="32" s="1"/>
  <c r="F16" i="32" s="1"/>
  <c r="D27" i="32"/>
  <c r="D23" i="32"/>
  <c r="C23" i="32" s="1"/>
  <c r="F23" i="32" s="1"/>
  <c r="D32" i="32"/>
  <c r="D15" i="32"/>
  <c r="C15" i="32" s="1"/>
  <c r="F15" i="32" s="1"/>
  <c r="D17" i="32"/>
  <c r="C17" i="32" s="1"/>
  <c r="F17" i="32" s="1"/>
  <c r="D24" i="32"/>
  <c r="P65" i="25"/>
  <c r="P35" i="25"/>
  <c r="P32" i="25"/>
  <c r="P29" i="25"/>
  <c r="P26" i="25"/>
  <c r="L16" i="32" l="1"/>
  <c r="L15" i="32"/>
  <c r="C27" i="32"/>
  <c r="F27" i="32" s="1"/>
  <c r="L27" i="32"/>
  <c r="L17" i="32"/>
  <c r="C25" i="32"/>
  <c r="F25" i="32" s="1"/>
  <c r="L25" i="32"/>
  <c r="L20" i="32"/>
  <c r="M20" i="32" s="1"/>
  <c r="C29" i="32"/>
  <c r="F29" i="32" s="1"/>
  <c r="L29" i="32"/>
  <c r="C24" i="32"/>
  <c r="F24" i="32" s="1"/>
  <c r="L24" i="32"/>
  <c r="F14" i="32"/>
  <c r="C31" i="32"/>
  <c r="F31" i="32" s="1"/>
  <c r="L31" i="32"/>
  <c r="C30" i="32"/>
  <c r="F30" i="32" s="1"/>
  <c r="L30" i="32"/>
  <c r="C28" i="32"/>
  <c r="F28" i="32" s="1"/>
  <c r="L28" i="32"/>
  <c r="C32" i="32"/>
  <c r="F32" i="32" s="1"/>
  <c r="L32" i="32"/>
  <c r="C26" i="32"/>
  <c r="F26" i="32" s="1"/>
  <c r="L26" i="32"/>
  <c r="L18" i="32"/>
  <c r="L21" i="32"/>
  <c r="L33" i="32"/>
  <c r="L19" i="32"/>
  <c r="L23" i="32"/>
  <c r="D34" i="32"/>
  <c r="L22" i="32"/>
  <c r="L14" i="32"/>
  <c r="D22" i="31"/>
  <c r="A12" i="31"/>
  <c r="A24" i="31" s="1"/>
  <c r="A26" i="31"/>
  <c r="A11" i="31"/>
  <c r="A23" i="31" s="1"/>
  <c r="A10" i="31"/>
  <c r="A22" i="31" s="1"/>
  <c r="U36" i="32"/>
  <c r="S36" i="32"/>
  <c r="Q36" i="32"/>
  <c r="J13" i="32"/>
  <c r="I13" i="32"/>
  <c r="G13" i="32"/>
  <c r="M29" i="14"/>
  <c r="Y29" i="14" s="1"/>
  <c r="M30" i="14"/>
  <c r="Y30" i="14" s="1"/>
  <c r="M31" i="14"/>
  <c r="Y31" i="14" s="1"/>
  <c r="M32" i="14"/>
  <c r="Y32" i="14" s="1"/>
  <c r="M33" i="14"/>
  <c r="Y33" i="14" s="1"/>
  <c r="M34" i="14"/>
  <c r="Y34" i="14" s="1"/>
  <c r="M35" i="14"/>
  <c r="Y35" i="14" s="1"/>
  <c r="M36" i="14"/>
  <c r="Y36" i="14" s="1"/>
  <c r="M37" i="14"/>
  <c r="Y37" i="14" s="1"/>
  <c r="M28" i="14"/>
  <c r="Y28" i="14" s="1"/>
  <c r="G37" i="14"/>
  <c r="S37" i="14" s="1"/>
  <c r="AE37" i="14" s="1"/>
  <c r="G36" i="14"/>
  <c r="S36" i="14" s="1"/>
  <c r="AE36" i="14" s="1"/>
  <c r="G35" i="14"/>
  <c r="S35" i="14" s="1"/>
  <c r="AE35" i="14" s="1"/>
  <c r="G34" i="14"/>
  <c r="S34" i="14" s="1"/>
  <c r="AE34" i="14" s="1"/>
  <c r="G33" i="14"/>
  <c r="S33" i="14" s="1"/>
  <c r="AE33" i="14" s="1"/>
  <c r="G32" i="14"/>
  <c r="S32" i="14" s="1"/>
  <c r="AE32" i="14" s="1"/>
  <c r="G31" i="14"/>
  <c r="S31" i="14" s="1"/>
  <c r="AE31" i="14" s="1"/>
  <c r="G30" i="14"/>
  <c r="S30" i="14" s="1"/>
  <c r="AE30" i="14" s="1"/>
  <c r="G29" i="14"/>
  <c r="S29" i="14" s="1"/>
  <c r="AE29" i="14" s="1"/>
  <c r="G28" i="14"/>
  <c r="S28" i="14" s="1"/>
  <c r="AE28" i="14" s="1"/>
  <c r="M10" i="14"/>
  <c r="Y10" i="14" s="1"/>
  <c r="M11" i="14"/>
  <c r="Y11" i="14" s="1"/>
  <c r="M12" i="14"/>
  <c r="Y12" i="14" s="1"/>
  <c r="M13" i="14"/>
  <c r="Y13" i="14" s="1"/>
  <c r="M5" i="14"/>
  <c r="Y5" i="14" s="1"/>
  <c r="M6" i="14"/>
  <c r="Y6" i="14" s="1"/>
  <c r="M7" i="14"/>
  <c r="Y7" i="14" s="1"/>
  <c r="M8" i="14"/>
  <c r="Y8" i="14" s="1"/>
  <c r="M9" i="14"/>
  <c r="Y9" i="14" s="1"/>
  <c r="M4" i="14"/>
  <c r="Y4" i="14" s="1"/>
  <c r="G5" i="14"/>
  <c r="S5" i="14" s="1"/>
  <c r="AE5" i="14" s="1"/>
  <c r="G6" i="14"/>
  <c r="S6" i="14" s="1"/>
  <c r="AE6" i="14" s="1"/>
  <c r="G7" i="14"/>
  <c r="S7" i="14" s="1"/>
  <c r="AE7" i="14" s="1"/>
  <c r="G8" i="14"/>
  <c r="S8" i="14" s="1"/>
  <c r="AE8" i="14" s="1"/>
  <c r="G9" i="14"/>
  <c r="S9" i="14" s="1"/>
  <c r="AE9" i="14" s="1"/>
  <c r="G10" i="14"/>
  <c r="S10" i="14" s="1"/>
  <c r="AE10" i="14" s="1"/>
  <c r="G11" i="14"/>
  <c r="S11" i="14" s="1"/>
  <c r="AE11" i="14" s="1"/>
  <c r="G12" i="14"/>
  <c r="S12" i="14" s="1"/>
  <c r="AE12" i="14" s="1"/>
  <c r="G13" i="14"/>
  <c r="S13" i="14" s="1"/>
  <c r="AE13" i="14" s="1"/>
  <c r="G4" i="14"/>
  <c r="S4" i="14" s="1"/>
  <c r="AE4" i="14" s="1"/>
  <c r="AF6" i="14"/>
  <c r="AF7" i="14"/>
  <c r="AF8" i="14"/>
  <c r="AF9" i="14"/>
  <c r="N13" i="14"/>
  <c r="AF5" i="14"/>
  <c r="AF4" i="14"/>
  <c r="M27" i="25"/>
  <c r="M30" i="25"/>
  <c r="M33" i="25"/>
  <c r="N20" i="32" l="1"/>
  <c r="AC20" i="32"/>
  <c r="M14" i="32"/>
  <c r="M28" i="32"/>
  <c r="M26" i="32"/>
  <c r="S26" i="32" s="1"/>
  <c r="J16" i="14" s="1"/>
  <c r="M31" i="32"/>
  <c r="M24" i="32"/>
  <c r="M27" i="32"/>
  <c r="M29" i="32"/>
  <c r="AC29" i="32" s="1"/>
  <c r="M30" i="32"/>
  <c r="C34" i="32"/>
  <c r="C36" i="32" s="1"/>
  <c r="M25" i="32"/>
  <c r="AC25" i="32" s="1"/>
  <c r="M32" i="32"/>
  <c r="AA20" i="32"/>
  <c r="AH10" i="14" s="1"/>
  <c r="Y20" i="32"/>
  <c r="AB10" i="14" s="1"/>
  <c r="W20" i="32"/>
  <c r="V10" i="14" s="1"/>
  <c r="L34" i="32"/>
  <c r="Z7" i="14"/>
  <c r="T7" i="14"/>
  <c r="Z6" i="14"/>
  <c r="T6" i="14"/>
  <c r="Z4" i="14"/>
  <c r="T4" i="14"/>
  <c r="T9" i="14"/>
  <c r="Z9" i="14"/>
  <c r="T5" i="14"/>
  <c r="Z5" i="14"/>
  <c r="Z8" i="14"/>
  <c r="T8" i="14"/>
  <c r="B5" i="14"/>
  <c r="N6" i="14"/>
  <c r="O30" i="25"/>
  <c r="O27" i="25"/>
  <c r="N4" i="14"/>
  <c r="N12" i="14"/>
  <c r="H8" i="14"/>
  <c r="N9" i="14"/>
  <c r="H11" i="14"/>
  <c r="N5" i="14"/>
  <c r="H4" i="14"/>
  <c r="H10" i="14"/>
  <c r="H7" i="14"/>
  <c r="N11" i="14"/>
  <c r="N8" i="14"/>
  <c r="H13" i="14"/>
  <c r="H6" i="14"/>
  <c r="N10" i="14"/>
  <c r="N7" i="14"/>
  <c r="H12" i="14"/>
  <c r="H9" i="14"/>
  <c r="H5" i="14"/>
  <c r="O33" i="25"/>
  <c r="U27" i="32" l="1"/>
  <c r="P17" i="14" s="1"/>
  <c r="AC27" i="32"/>
  <c r="N31" i="32"/>
  <c r="AC31" i="32"/>
  <c r="N14" i="32"/>
  <c r="AC14" i="32"/>
  <c r="S24" i="32"/>
  <c r="J14" i="14" s="1"/>
  <c r="AC24" i="32"/>
  <c r="N30" i="32"/>
  <c r="AC30" i="32"/>
  <c r="N32" i="32"/>
  <c r="AC32" i="32"/>
  <c r="Y26" i="32"/>
  <c r="AB16" i="14" s="1"/>
  <c r="AC26" i="32"/>
  <c r="W28" i="32"/>
  <c r="V18" i="14" s="1"/>
  <c r="AC28" i="32"/>
  <c r="Y28" i="32"/>
  <c r="AB18" i="14" s="1"/>
  <c r="U28" i="32"/>
  <c r="P18" i="14" s="1"/>
  <c r="Q28" i="32"/>
  <c r="D18" i="14" s="1"/>
  <c r="AA26" i="32"/>
  <c r="AH16" i="14" s="1"/>
  <c r="S31" i="32"/>
  <c r="J21" i="14" s="1"/>
  <c r="W26" i="32"/>
  <c r="V16" i="14" s="1"/>
  <c r="W31" i="32"/>
  <c r="V21" i="14" s="1"/>
  <c r="Y24" i="32"/>
  <c r="AB14" i="14" s="1"/>
  <c r="AA24" i="32"/>
  <c r="AH14" i="14" s="1"/>
  <c r="N28" i="32"/>
  <c r="Q24" i="32"/>
  <c r="D14" i="14" s="1"/>
  <c r="U24" i="32"/>
  <c r="P14" i="14" s="1"/>
  <c r="N24" i="32"/>
  <c r="Y31" i="32"/>
  <c r="AB21" i="14" s="1"/>
  <c r="W24" i="32"/>
  <c r="V14" i="14" s="1"/>
  <c r="Q31" i="32"/>
  <c r="D21" i="14" s="1"/>
  <c r="W27" i="32"/>
  <c r="V17" i="14" s="1"/>
  <c r="Y27" i="32"/>
  <c r="AB17" i="14" s="1"/>
  <c r="N27" i="32"/>
  <c r="AA31" i="32"/>
  <c r="AH21" i="14" s="1"/>
  <c r="U31" i="32"/>
  <c r="P21" i="14" s="1"/>
  <c r="N26" i="32"/>
  <c r="AA27" i="32"/>
  <c r="AH17" i="14" s="1"/>
  <c r="AA28" i="32"/>
  <c r="AH18" i="14" s="1"/>
  <c r="Q26" i="32"/>
  <c r="D16" i="14" s="1"/>
  <c r="Q27" i="32"/>
  <c r="D17" i="14" s="1"/>
  <c r="S28" i="32"/>
  <c r="J18" i="14" s="1"/>
  <c r="U26" i="32"/>
  <c r="P16" i="14" s="1"/>
  <c r="S27" i="32"/>
  <c r="J17" i="14" s="1"/>
  <c r="S25" i="32"/>
  <c r="J15" i="14" s="1"/>
  <c r="AA25" i="32"/>
  <c r="AH15" i="14" s="1"/>
  <c r="U25" i="32"/>
  <c r="P15" i="14" s="1"/>
  <c r="W25" i="32"/>
  <c r="V15" i="14" s="1"/>
  <c r="Q25" i="32"/>
  <c r="D15" i="14" s="1"/>
  <c r="Y25" i="32"/>
  <c r="AB15" i="14" s="1"/>
  <c r="N25" i="32"/>
  <c r="Y32" i="32"/>
  <c r="AB22" i="14" s="1"/>
  <c r="S32" i="32"/>
  <c r="J22" i="14" s="1"/>
  <c r="U32" i="32"/>
  <c r="P22" i="14" s="1"/>
  <c r="Q32" i="32"/>
  <c r="D22" i="14" s="1"/>
  <c r="W32" i="32"/>
  <c r="V22" i="14" s="1"/>
  <c r="AA32" i="32"/>
  <c r="AH22" i="14" s="1"/>
  <c r="Q30" i="32"/>
  <c r="D20" i="14" s="1"/>
  <c r="S30" i="32"/>
  <c r="J20" i="14" s="1"/>
  <c r="AA30" i="32"/>
  <c r="AH20" i="14" s="1"/>
  <c r="U30" i="32"/>
  <c r="P20" i="14" s="1"/>
  <c r="W30" i="32"/>
  <c r="V20" i="14" s="1"/>
  <c r="Y30" i="32"/>
  <c r="AB20" i="14" s="1"/>
  <c r="N29" i="32"/>
  <c r="Y29" i="32"/>
  <c r="AB19" i="14" s="1"/>
  <c r="W29" i="32"/>
  <c r="V19" i="14" s="1"/>
  <c r="S29" i="32"/>
  <c r="J19" i="14" s="1"/>
  <c r="U29" i="32"/>
  <c r="P19" i="14" s="1"/>
  <c r="Q29" i="32"/>
  <c r="D19" i="14" s="1"/>
  <c r="AA29" i="32"/>
  <c r="AH19" i="14" s="1"/>
  <c r="P33" i="25"/>
  <c r="P30" i="25"/>
  <c r="P27" i="25"/>
  <c r="R36" i="32"/>
  <c r="T12" i="32"/>
  <c r="R12" i="32"/>
  <c r="M19" i="32" l="1"/>
  <c r="M22" i="32"/>
  <c r="M23" i="32"/>
  <c r="AA23" i="32" l="1"/>
  <c r="AH13" i="14" s="1"/>
  <c r="AC23" i="32"/>
  <c r="AA22" i="32"/>
  <c r="AH12" i="14" s="1"/>
  <c r="AC22" i="32"/>
  <c r="AA19" i="32"/>
  <c r="AH9" i="14" s="1"/>
  <c r="AC19" i="32"/>
  <c r="Y23" i="32"/>
  <c r="AB13" i="14" s="1"/>
  <c r="W23" i="32"/>
  <c r="V13" i="14" s="1"/>
  <c r="N23" i="32"/>
  <c r="W22" i="32"/>
  <c r="V12" i="14" s="1"/>
  <c r="Y22" i="32"/>
  <c r="AB12" i="14" s="1"/>
  <c r="N22" i="32"/>
  <c r="Y19" i="32"/>
  <c r="AB9" i="14" s="1"/>
  <c r="W19" i="32"/>
  <c r="V9" i="14" s="1"/>
  <c r="N19" i="32"/>
  <c r="U22" i="32"/>
  <c r="P12" i="14" s="1"/>
  <c r="S22" i="32"/>
  <c r="J12" i="14" s="1"/>
  <c r="Q22" i="32"/>
  <c r="D12" i="14" s="1"/>
  <c r="Q19" i="32"/>
  <c r="D9" i="14" s="1"/>
  <c r="U19" i="32"/>
  <c r="P9" i="14" s="1"/>
  <c r="S19" i="32"/>
  <c r="J9" i="14" s="1"/>
  <c r="M21" i="32"/>
  <c r="AA21" i="32" l="1"/>
  <c r="AH11" i="14" s="1"/>
  <c r="AC21" i="32"/>
  <c r="W21" i="32"/>
  <c r="V11" i="14" s="1"/>
  <c r="Y21" i="32"/>
  <c r="AB11" i="14" s="1"/>
  <c r="N21" i="32"/>
  <c r="Q21" i="32"/>
  <c r="D11" i="14" s="1"/>
  <c r="S21" i="32"/>
  <c r="J11" i="14" s="1"/>
  <c r="U21" i="32"/>
  <c r="P11" i="14" s="1"/>
  <c r="S20" i="32"/>
  <c r="J10" i="14" s="1"/>
  <c r="Q20" i="32"/>
  <c r="D10" i="14" s="1"/>
  <c r="U20" i="32"/>
  <c r="P10" i="14" s="1"/>
  <c r="O66" i="25" l="1"/>
  <c r="O36" i="25"/>
  <c r="M66" i="25" l="1"/>
  <c r="M36" i="25"/>
  <c r="P36" i="25" s="1"/>
  <c r="P66" i="25" l="1"/>
  <c r="B4" i="14" l="1"/>
  <c r="M18" i="32" l="1"/>
  <c r="AA18" i="32" l="1"/>
  <c r="AH8" i="14" s="1"/>
  <c r="AC18" i="32"/>
  <c r="W18" i="32"/>
  <c r="V8" i="14" s="1"/>
  <c r="Y18" i="32"/>
  <c r="AB8" i="14" s="1"/>
  <c r="N18" i="32"/>
  <c r="O9" i="25"/>
  <c r="Q18" i="32" l="1"/>
  <c r="D8" i="14" s="1"/>
  <c r="M9" i="25"/>
  <c r="P9" i="25" l="1"/>
  <c r="M16" i="32"/>
  <c r="M17" i="32"/>
  <c r="I27" i="33"/>
  <c r="I26" i="33"/>
  <c r="J26" i="33" s="1"/>
  <c r="I25" i="33"/>
  <c r="I24" i="33"/>
  <c r="I23" i="33"/>
  <c r="I22" i="33"/>
  <c r="J22" i="33" s="1"/>
  <c r="I13" i="33"/>
  <c r="I12" i="33"/>
  <c r="I11" i="33"/>
  <c r="I10" i="33"/>
  <c r="J11" i="33" s="1"/>
  <c r="I9" i="33"/>
  <c r="I8" i="33"/>
  <c r="I7" i="33"/>
  <c r="I6" i="33"/>
  <c r="L7" i="33" s="1"/>
  <c r="I5" i="33"/>
  <c r="I4" i="33"/>
  <c r="I3" i="33"/>
  <c r="J3" i="33" s="1"/>
  <c r="F11" i="31"/>
  <c r="AA17" i="32" l="1"/>
  <c r="AH7" i="14" s="1"/>
  <c r="AC17" i="32"/>
  <c r="AA16" i="32"/>
  <c r="AH6" i="14" s="1"/>
  <c r="AC16" i="32"/>
  <c r="W17" i="32"/>
  <c r="V7" i="14" s="1"/>
  <c r="Y17" i="32"/>
  <c r="AB7" i="14" s="1"/>
  <c r="N17" i="32"/>
  <c r="W16" i="32"/>
  <c r="V6" i="14" s="1"/>
  <c r="Y16" i="32"/>
  <c r="AB6" i="14" s="1"/>
  <c r="N16" i="32"/>
  <c r="J13" i="33"/>
  <c r="J4" i="33"/>
  <c r="K9" i="33"/>
  <c r="D23" i="31"/>
  <c r="K4" i="33"/>
  <c r="J9" i="33"/>
  <c r="L9" i="33"/>
  <c r="K25" i="33"/>
  <c r="M15" i="32"/>
  <c r="J7" i="33"/>
  <c r="L11" i="33"/>
  <c r="K7" i="33"/>
  <c r="L4" i="33"/>
  <c r="K11" i="33"/>
  <c r="K22" i="33"/>
  <c r="K29" i="33" s="1"/>
  <c r="J25" i="33"/>
  <c r="J29" i="33" s="1"/>
  <c r="AA15" i="32" l="1"/>
  <c r="AH5" i="14" s="1"/>
  <c r="AC15" i="32"/>
  <c r="AA14" i="32"/>
  <c r="AH4" i="14" s="1"/>
  <c r="Q14" i="32"/>
  <c r="D4" i="14" s="1"/>
  <c r="W14" i="32"/>
  <c r="V4" i="14" s="1"/>
  <c r="Y14" i="32"/>
  <c r="AB4" i="14" s="1"/>
  <c r="Y15" i="32"/>
  <c r="AB5" i="14" s="1"/>
  <c r="W15" i="32"/>
  <c r="V5" i="14" s="1"/>
  <c r="N15" i="32"/>
  <c r="Q16" i="32"/>
  <c r="D6" i="14" s="1"/>
  <c r="Q17" i="32"/>
  <c r="D7" i="14" s="1"/>
  <c r="U14" i="32"/>
  <c r="L15" i="33"/>
  <c r="K15" i="33"/>
  <c r="J15" i="33"/>
  <c r="Q15" i="32" l="1"/>
  <c r="D5" i="14" s="1"/>
  <c r="D36" i="32" l="1"/>
  <c r="M33" i="32"/>
  <c r="AA33" i="32" l="1"/>
  <c r="AH23" i="14" s="1"/>
  <c r="AC33" i="32"/>
  <c r="AH24" i="14"/>
  <c r="AH55" i="14" s="1"/>
  <c r="AH69" i="14" s="1"/>
  <c r="AI69" i="14" s="1"/>
  <c r="W33" i="32"/>
  <c r="V23" i="14" s="1"/>
  <c r="Y33" i="32"/>
  <c r="AB23" i="14" s="1"/>
  <c r="Q33" i="32"/>
  <c r="D23" i="14" s="1"/>
  <c r="S33" i="32"/>
  <c r="J23" i="14" s="1"/>
  <c r="U33" i="32"/>
  <c r="P23" i="14" s="1"/>
  <c r="N33" i="32"/>
  <c r="M34" i="32"/>
  <c r="AC34" i="32" s="1"/>
  <c r="F34" i="32"/>
  <c r="F36" i="32" s="1"/>
  <c r="Q23" i="32"/>
  <c r="D13" i="14" s="1"/>
  <c r="S23" i="32"/>
  <c r="J13" i="14" s="1"/>
  <c r="J36" i="32"/>
  <c r="H36" i="32"/>
  <c r="G36" i="32"/>
  <c r="I36" i="32"/>
  <c r="K36" i="32"/>
  <c r="AB24" i="14" l="1"/>
  <c r="AB55" i="14" s="1"/>
  <c r="AB69" i="14" s="1"/>
  <c r="AC69" i="14" s="1"/>
  <c r="V24" i="14"/>
  <c r="V55" i="14" s="1"/>
  <c r="V69" i="14" s="1"/>
  <c r="W69" i="14" s="1"/>
  <c r="B15" i="31"/>
  <c r="U23" i="32"/>
  <c r="P13" i="14" s="1"/>
  <c r="U16" i="32"/>
  <c r="P6" i="14" s="1"/>
  <c r="S16" i="32"/>
  <c r="J6" i="14" s="1"/>
  <c r="S17" i="32"/>
  <c r="J7" i="14" s="1"/>
  <c r="U17" i="32"/>
  <c r="P7" i="14" s="1"/>
  <c r="U18" i="32"/>
  <c r="P8" i="14" s="1"/>
  <c r="S18" i="32"/>
  <c r="J8" i="14" s="1"/>
  <c r="L36" i="32"/>
  <c r="U15" i="32" l="1"/>
  <c r="P5" i="14" s="1"/>
  <c r="S15" i="32"/>
  <c r="J5" i="14" s="1"/>
  <c r="N34" i="32"/>
  <c r="S14" i="32"/>
  <c r="M36" i="32"/>
  <c r="J4" i="14" l="1"/>
  <c r="P4" i="14"/>
  <c r="N36" i="32"/>
  <c r="T36" i="32"/>
  <c r="J24" i="14" l="1"/>
  <c r="J55" i="14" s="1"/>
  <c r="J69" i="14" s="1"/>
  <c r="K69" i="14" s="1"/>
  <c r="P24" i="14"/>
  <c r="P55" i="14" s="1"/>
  <c r="P69" i="14" s="1"/>
  <c r="Q69" i="14" s="1"/>
  <c r="D24" i="14"/>
  <c r="B13" i="31"/>
  <c r="B14" i="31"/>
  <c r="O24" i="25"/>
  <c r="O23" i="25"/>
  <c r="O21" i="25"/>
  <c r="M20" i="25"/>
  <c r="O18" i="25"/>
  <c r="O17" i="25"/>
  <c r="M15" i="25"/>
  <c r="O14" i="25"/>
  <c r="M12" i="25"/>
  <c r="O11" i="25"/>
  <c r="D55" i="14" l="1"/>
  <c r="B10" i="31"/>
  <c r="K69" i="25"/>
  <c r="B11" i="31"/>
  <c r="O12" i="25"/>
  <c r="O15" i="25"/>
  <c r="O20" i="25"/>
  <c r="M18" i="25"/>
  <c r="M23" i="25"/>
  <c r="M11" i="25"/>
  <c r="M14" i="25"/>
  <c r="M17" i="25"/>
  <c r="P17" i="25" s="1"/>
  <c r="M21" i="25"/>
  <c r="M24" i="25"/>
  <c r="P24" i="25" l="1"/>
  <c r="P21" i="25"/>
  <c r="P18" i="25"/>
  <c r="P23" i="25"/>
  <c r="P20" i="25"/>
  <c r="P15" i="25"/>
  <c r="P14" i="25"/>
  <c r="P12" i="25"/>
  <c r="P11" i="25"/>
  <c r="E14" i="32" s="1"/>
  <c r="E4" i="14" s="1"/>
  <c r="M69" i="25"/>
  <c r="O69" i="25"/>
  <c r="E29" i="32" l="1"/>
  <c r="E24" i="32"/>
  <c r="E31" i="32"/>
  <c r="E27" i="32"/>
  <c r="E21" i="32"/>
  <c r="E23" i="32"/>
  <c r="E30" i="32"/>
  <c r="E22" i="32"/>
  <c r="E15" i="32"/>
  <c r="E5" i="14" s="1"/>
  <c r="E17" i="32"/>
  <c r="E33" i="32"/>
  <c r="E16" i="32"/>
  <c r="E26" i="32"/>
  <c r="E25" i="32"/>
  <c r="E20" i="32"/>
  <c r="E18" i="32"/>
  <c r="E19" i="32"/>
  <c r="E28" i="32"/>
  <c r="E32" i="32"/>
  <c r="P69" i="25"/>
  <c r="AI22" i="14" l="1"/>
  <c r="E22" i="14"/>
  <c r="W22" i="14"/>
  <c r="AC22" i="14"/>
  <c r="K22" i="14"/>
  <c r="Q22" i="14"/>
  <c r="W18" i="14"/>
  <c r="AI18" i="14"/>
  <c r="E18" i="14"/>
  <c r="K18" i="14"/>
  <c r="Q18" i="14"/>
  <c r="AC18" i="14"/>
  <c r="E19" i="14"/>
  <c r="AI19" i="14"/>
  <c r="W19" i="14"/>
  <c r="Q19" i="14"/>
  <c r="K19" i="14"/>
  <c r="AC19" i="14"/>
  <c r="AI5" i="14"/>
  <c r="W5" i="14"/>
  <c r="AC5" i="14"/>
  <c r="Q5" i="14"/>
  <c r="K5" i="14"/>
  <c r="E16" i="14"/>
  <c r="AI16" i="14"/>
  <c r="W16" i="14"/>
  <c r="AC16" i="14"/>
  <c r="K16" i="14"/>
  <c r="Q16" i="14"/>
  <c r="W20" i="14"/>
  <c r="E20" i="14"/>
  <c r="AC20" i="14"/>
  <c r="K20" i="14"/>
  <c r="AI20" i="14"/>
  <c r="Q20" i="14"/>
  <c r="AI13" i="14"/>
  <c r="W13" i="14"/>
  <c r="AC13" i="14"/>
  <c r="E13" i="14"/>
  <c r="K13" i="14"/>
  <c r="Q13" i="14"/>
  <c r="AI17" i="14"/>
  <c r="E17" i="14"/>
  <c r="W17" i="14"/>
  <c r="Q17" i="14"/>
  <c r="K17" i="14"/>
  <c r="AC17" i="14"/>
  <c r="W10" i="14"/>
  <c r="AC10" i="14"/>
  <c r="AI10" i="14"/>
  <c r="K10" i="14"/>
  <c r="Q10" i="14"/>
  <c r="E10" i="14"/>
  <c r="AI12" i="14"/>
  <c r="W12" i="14"/>
  <c r="AC12" i="14"/>
  <c r="K12" i="14"/>
  <c r="Q12" i="14"/>
  <c r="E12" i="14"/>
  <c r="AI8" i="14"/>
  <c r="AC8" i="14"/>
  <c r="W8" i="14"/>
  <c r="E8" i="14"/>
  <c r="K8" i="14"/>
  <c r="Q8" i="14"/>
  <c r="AI14" i="14"/>
  <c r="Q14" i="14"/>
  <c r="W14" i="14"/>
  <c r="K14" i="14"/>
  <c r="E14" i="14"/>
  <c r="AC14" i="14"/>
  <c r="AI6" i="14"/>
  <c r="AC6" i="14"/>
  <c r="W6" i="14"/>
  <c r="E6" i="14"/>
  <c r="K6" i="14"/>
  <c r="Q6" i="14"/>
  <c r="AI9" i="14"/>
  <c r="E9" i="14"/>
  <c r="W9" i="14"/>
  <c r="Q9" i="14"/>
  <c r="K9" i="14"/>
  <c r="AC9" i="14"/>
  <c r="AI23" i="14"/>
  <c r="Q23" i="14"/>
  <c r="K23" i="14"/>
  <c r="E23" i="14"/>
  <c r="W23" i="14"/>
  <c r="AC23" i="14"/>
  <c r="AI11" i="14"/>
  <c r="W11" i="14"/>
  <c r="AC11" i="14"/>
  <c r="Q11" i="14"/>
  <c r="E11" i="14"/>
  <c r="K11" i="14"/>
  <c r="AI15" i="14"/>
  <c r="Q15" i="14"/>
  <c r="W15" i="14"/>
  <c r="K15" i="14"/>
  <c r="AC15" i="14"/>
  <c r="E15" i="14"/>
  <c r="AI7" i="14"/>
  <c r="AC7" i="14"/>
  <c r="W7" i="14"/>
  <c r="E7" i="14"/>
  <c r="Q7" i="14"/>
  <c r="K7" i="14"/>
  <c r="W21" i="14"/>
  <c r="AI21" i="14"/>
  <c r="E21" i="14"/>
  <c r="K21" i="14"/>
  <c r="Q21" i="14"/>
  <c r="AC21" i="14"/>
  <c r="AI4" i="14"/>
  <c r="AI24" i="14" l="1"/>
  <c r="AH70" i="14" s="1"/>
  <c r="K4" i="14"/>
  <c r="K24" i="14" s="1"/>
  <c r="AC4" i="14"/>
  <c r="AC24" i="14" s="1"/>
  <c r="Q4" i="14"/>
  <c r="Q24" i="14" s="1"/>
  <c r="E24" i="14"/>
  <c r="E34" i="32"/>
  <c r="E36" i="32" s="1"/>
  <c r="W4" i="14"/>
  <c r="W24" i="14" s="1"/>
  <c r="AI55" i="14" l="1"/>
  <c r="AI57" i="14" s="1"/>
  <c r="E55" i="14"/>
  <c r="C10" i="31"/>
  <c r="AC55" i="14"/>
  <c r="AB70" i="14"/>
  <c r="W55" i="14"/>
  <c r="V70" i="14"/>
  <c r="K55" i="14"/>
  <c r="J70" i="14"/>
  <c r="Q55" i="14"/>
  <c r="P70" i="14"/>
  <c r="AH72" i="14"/>
  <c r="AI70" i="14"/>
  <c r="AI72" i="14" s="1"/>
  <c r="C15" i="31"/>
  <c r="E15" i="31" s="1"/>
  <c r="H15" i="31" s="1"/>
  <c r="C27" i="31" s="1"/>
  <c r="F27" i="31" s="1"/>
  <c r="G9" i="13"/>
  <c r="P72" i="14" l="1"/>
  <c r="Q70" i="14"/>
  <c r="Q72" i="14" s="1"/>
  <c r="V72" i="14"/>
  <c r="W70" i="14"/>
  <c r="W72" i="14" s="1"/>
  <c r="J72" i="14"/>
  <c r="K70" i="14"/>
  <c r="K72" i="14" s="1"/>
  <c r="AB72" i="14"/>
  <c r="AC70" i="14"/>
  <c r="AC72" i="14" s="1"/>
  <c r="C11" i="31"/>
  <c r="AI61" i="14"/>
  <c r="C14" i="31"/>
  <c r="E14" i="31" s="1"/>
  <c r="H14" i="31" s="1"/>
  <c r="C26" i="31" s="1"/>
  <c r="F26" i="31" s="1"/>
  <c r="C13" i="31"/>
  <c r="E13" i="31" s="1"/>
  <c r="H13" i="31" s="1"/>
  <c r="C25" i="31" s="1"/>
  <c r="F25" i="31" s="1"/>
  <c r="AC57" i="14"/>
  <c r="AC61" i="14"/>
  <c r="W57" i="14"/>
  <c r="I13" i="21"/>
  <c r="P13" i="21" s="1"/>
  <c r="Q13" i="21" s="1"/>
  <c r="I17" i="16"/>
  <c r="M17" i="16" s="1"/>
  <c r="U17" i="16"/>
  <c r="I16" i="16"/>
  <c r="M16" i="16" s="1"/>
  <c r="U16" i="16"/>
  <c r="AA67" i="14" l="1"/>
  <c r="AC67" i="14" s="1"/>
  <c r="R14" i="19"/>
  <c r="R22" i="19"/>
  <c r="AG22" i="19" s="1"/>
  <c r="R30" i="19"/>
  <c r="AG30" i="19" s="1"/>
  <c r="R6" i="19"/>
  <c r="AG6" i="19" s="1"/>
  <c r="R7" i="19"/>
  <c r="AG7" i="19" s="1"/>
  <c r="R15" i="19"/>
  <c r="AG15" i="19" s="1"/>
  <c r="R23" i="19"/>
  <c r="AG23" i="19" s="1"/>
  <c r="R31" i="19"/>
  <c r="AG31" i="19" s="1"/>
  <c r="R9" i="19"/>
  <c r="AG9" i="19" s="1"/>
  <c r="R25" i="19"/>
  <c r="AG25" i="19" s="1"/>
  <c r="R10" i="19"/>
  <c r="AG10" i="19" s="1"/>
  <c r="R26" i="19"/>
  <c r="AG26" i="19" s="1"/>
  <c r="R28" i="19"/>
  <c r="AG28" i="19" s="1"/>
  <c r="R8" i="19"/>
  <c r="AG8" i="19" s="1"/>
  <c r="R16" i="19"/>
  <c r="AG16" i="19" s="1"/>
  <c r="R24" i="19"/>
  <c r="AG24" i="19" s="1"/>
  <c r="R32" i="19"/>
  <c r="R17" i="19"/>
  <c r="R33" i="19"/>
  <c r="AG33" i="19" s="1"/>
  <c r="R18" i="19"/>
  <c r="AG18" i="19" s="1"/>
  <c r="R34" i="19"/>
  <c r="AG34" i="19" s="1"/>
  <c r="R36" i="19"/>
  <c r="AG36" i="19" s="1"/>
  <c r="R21" i="19"/>
  <c r="AG21" i="19" s="1"/>
  <c r="R12" i="19"/>
  <c r="AG12" i="19" s="1"/>
  <c r="R29" i="19"/>
  <c r="AG29" i="19" s="1"/>
  <c r="R11" i="19"/>
  <c r="AG11" i="19" s="1"/>
  <c r="R19" i="19"/>
  <c r="AG19" i="19" s="1"/>
  <c r="R27" i="19"/>
  <c r="AG27" i="19" s="1"/>
  <c r="R35" i="19"/>
  <c r="AG35" i="19" s="1"/>
  <c r="R20" i="19"/>
  <c r="AG20" i="19" s="1"/>
  <c r="R13" i="19"/>
  <c r="AG13" i="19" s="1"/>
  <c r="R37" i="19"/>
  <c r="AG37" i="19" s="1"/>
  <c r="AG67" i="14"/>
  <c r="AI67" i="14" s="1"/>
  <c r="S14" i="19"/>
  <c r="S22" i="19"/>
  <c r="AH22" i="19" s="1"/>
  <c r="S30" i="19"/>
  <c r="AH30" i="19" s="1"/>
  <c r="S6" i="19"/>
  <c r="AH6" i="19" s="1"/>
  <c r="S7" i="19"/>
  <c r="AH7" i="19" s="1"/>
  <c r="S15" i="19"/>
  <c r="AH15" i="19" s="1"/>
  <c r="S23" i="19"/>
  <c r="AH23" i="19" s="1"/>
  <c r="S31" i="19"/>
  <c r="AH31" i="19" s="1"/>
  <c r="S9" i="19"/>
  <c r="AH9" i="19" s="1"/>
  <c r="S25" i="19"/>
  <c r="AH25" i="19" s="1"/>
  <c r="S33" i="19"/>
  <c r="AH33" i="19" s="1"/>
  <c r="S10" i="19"/>
  <c r="AH10" i="19" s="1"/>
  <c r="S26" i="19"/>
  <c r="AH26" i="19" s="1"/>
  <c r="S28" i="19"/>
  <c r="AH28" i="19" s="1"/>
  <c r="S21" i="19"/>
  <c r="AH21" i="19" s="1"/>
  <c r="S37" i="19"/>
  <c r="AH37" i="19" s="1"/>
  <c r="S8" i="19"/>
  <c r="AH8" i="19" s="1"/>
  <c r="S16" i="19"/>
  <c r="AH16" i="19" s="1"/>
  <c r="S24" i="19"/>
  <c r="AH24" i="19" s="1"/>
  <c r="S32" i="19"/>
  <c r="AH32" i="19" s="1"/>
  <c r="S17" i="19"/>
  <c r="AH17" i="19" s="1"/>
  <c r="S18" i="19"/>
  <c r="AH18" i="19" s="1"/>
  <c r="S34" i="19"/>
  <c r="AH34" i="19" s="1"/>
  <c r="S20" i="19"/>
  <c r="AH20" i="19" s="1"/>
  <c r="S13" i="19"/>
  <c r="AH13" i="19" s="1"/>
  <c r="S36" i="19"/>
  <c r="AH36" i="19" s="1"/>
  <c r="S11" i="19"/>
  <c r="AH11" i="19" s="1"/>
  <c r="S19" i="19"/>
  <c r="AH19" i="19" s="1"/>
  <c r="S27" i="19"/>
  <c r="AH27" i="19" s="1"/>
  <c r="S35" i="19"/>
  <c r="AH35" i="19" s="1"/>
  <c r="S12" i="19"/>
  <c r="AH12" i="19" s="1"/>
  <c r="S29" i="19"/>
  <c r="AH29" i="19" s="1"/>
  <c r="AG14" i="19"/>
  <c r="AG32" i="19"/>
  <c r="AG17" i="19"/>
  <c r="AH14" i="19"/>
  <c r="P16" i="16"/>
  <c r="Q16" i="16" s="1"/>
  <c r="R16" i="16" s="1"/>
  <c r="P17" i="16"/>
  <c r="Q17" i="16" s="1"/>
  <c r="R17" i="16" s="1"/>
  <c r="M13" i="21"/>
  <c r="R13" i="21" s="1"/>
  <c r="C36" i="23"/>
  <c r="F27" i="23"/>
  <c r="G27" i="23" s="1"/>
  <c r="F26" i="23"/>
  <c r="G26" i="23" s="1"/>
  <c r="C22" i="23"/>
  <c r="U12" i="21"/>
  <c r="I12" i="21"/>
  <c r="P12" i="21" s="1"/>
  <c r="Q12" i="21" s="1"/>
  <c r="U11" i="21"/>
  <c r="I11" i="21"/>
  <c r="P11" i="21" s="1"/>
  <c r="Q11" i="21" s="1"/>
  <c r="U10" i="21"/>
  <c r="I10" i="21"/>
  <c r="P10" i="21" s="1"/>
  <c r="Q10" i="21" s="1"/>
  <c r="U9" i="21"/>
  <c r="I9" i="21"/>
  <c r="P9" i="21" s="1"/>
  <c r="AH38" i="19" l="1"/>
  <c r="H27" i="31" s="1"/>
  <c r="G27" i="31" s="1"/>
  <c r="AG38" i="19"/>
  <c r="H26" i="31" s="1"/>
  <c r="G26" i="31" s="1"/>
  <c r="S38" i="19"/>
  <c r="R38" i="19"/>
  <c r="I17" i="21"/>
  <c r="M9" i="21"/>
  <c r="U16" i="21"/>
  <c r="I28" i="21" s="1"/>
  <c r="M30" i="21" s="1"/>
  <c r="M34" i="21" s="1"/>
  <c r="R30" i="21" s="1"/>
  <c r="M11" i="21"/>
  <c r="R11" i="21" s="1"/>
  <c r="F28" i="23"/>
  <c r="P17" i="21"/>
  <c r="Q9" i="21"/>
  <c r="M10" i="21"/>
  <c r="M12" i="21"/>
  <c r="R12" i="21" s="1"/>
  <c r="C7" i="11"/>
  <c r="C6" i="11"/>
  <c r="C5" i="11"/>
  <c r="D34" i="18"/>
  <c r="D29" i="18"/>
  <c r="D19" i="18"/>
  <c r="F9" i="11"/>
  <c r="F10" i="11"/>
  <c r="F11" i="11"/>
  <c r="F12" i="11"/>
  <c r="F13" i="11"/>
  <c r="F14" i="11"/>
  <c r="D35" i="18" l="1"/>
  <c r="M17" i="21"/>
  <c r="R35" i="16"/>
  <c r="R10" i="21"/>
  <c r="Q17" i="21"/>
  <c r="R9" i="21"/>
  <c r="AA40" i="17"/>
  <c r="AA39" i="17"/>
  <c r="AA38" i="17"/>
  <c r="J27" i="17"/>
  <c r="J21" i="17"/>
  <c r="J11" i="17"/>
  <c r="J29" i="17" l="1"/>
  <c r="J31" i="17" s="1"/>
  <c r="R17" i="21"/>
  <c r="R27" i="21" s="1"/>
  <c r="R41" i="21" s="1"/>
  <c r="U19" i="16"/>
  <c r="I19" i="16"/>
  <c r="M19" i="16" s="1"/>
  <c r="U18" i="16"/>
  <c r="I18" i="16"/>
  <c r="P18" i="16" s="1"/>
  <c r="Q18" i="16" s="1"/>
  <c r="U15" i="16"/>
  <c r="I15" i="16"/>
  <c r="P15" i="16" s="1"/>
  <c r="Q15" i="16" s="1"/>
  <c r="U14" i="16"/>
  <c r="I14" i="16"/>
  <c r="M14" i="16" s="1"/>
  <c r="U13" i="16"/>
  <c r="I13" i="16"/>
  <c r="P13" i="16" s="1"/>
  <c r="Q13" i="16" s="1"/>
  <c r="U12" i="16"/>
  <c r="I12" i="16"/>
  <c r="M12" i="16" s="1"/>
  <c r="U11" i="16"/>
  <c r="I11" i="16"/>
  <c r="P11" i="16" s="1"/>
  <c r="Q11" i="16" s="1"/>
  <c r="U10" i="16"/>
  <c r="I10" i="16"/>
  <c r="M10" i="16" s="1"/>
  <c r="U9" i="16"/>
  <c r="I9" i="16"/>
  <c r="M9" i="16" s="1"/>
  <c r="F12" i="31" l="1"/>
  <c r="R39" i="21"/>
  <c r="R35" i="21"/>
  <c r="M11" i="16"/>
  <c r="R11" i="16" s="1"/>
  <c r="P10" i="16"/>
  <c r="Q10" i="16" s="1"/>
  <c r="R10" i="16" s="1"/>
  <c r="P12" i="16"/>
  <c r="Q12" i="16" s="1"/>
  <c r="R12" i="16" s="1"/>
  <c r="M13" i="16"/>
  <c r="R13" i="16" s="1"/>
  <c r="U21" i="16"/>
  <c r="I33" i="16" s="1"/>
  <c r="P9" i="16"/>
  <c r="Q9" i="16" s="1"/>
  <c r="R9" i="16" s="1"/>
  <c r="M18" i="16"/>
  <c r="R18" i="16" s="1"/>
  <c r="P14" i="16"/>
  <c r="Q14" i="16" s="1"/>
  <c r="R14" i="16" s="1"/>
  <c r="M15" i="16"/>
  <c r="P19" i="16"/>
  <c r="Q19" i="16" s="1"/>
  <c r="R19" i="16" s="1"/>
  <c r="I22" i="16"/>
  <c r="B12" i="31" l="1"/>
  <c r="D24" i="31"/>
  <c r="M22" i="16"/>
  <c r="R15" i="16"/>
  <c r="R22" i="16" s="1"/>
  <c r="R32" i="16" s="1"/>
  <c r="R45" i="16" s="1"/>
  <c r="M35" i="16"/>
  <c r="M39" i="16" s="1"/>
  <c r="Q22" i="16"/>
  <c r="P22" i="16"/>
  <c r="C12" i="31" l="1"/>
  <c r="E12" i="31" s="1"/>
  <c r="H12" i="31" s="1"/>
  <c r="R40" i="16"/>
  <c r="R43" i="16"/>
  <c r="C18" i="13"/>
  <c r="Q57" i="14" l="1"/>
  <c r="Q61" i="14"/>
  <c r="D15" i="11"/>
  <c r="O67" i="14" l="1"/>
  <c r="Q67" i="14" s="1"/>
  <c r="P30" i="19"/>
  <c r="AE30" i="19" s="1"/>
  <c r="P7" i="19"/>
  <c r="AE7" i="19" s="1"/>
  <c r="P15" i="19"/>
  <c r="AE15" i="19" s="1"/>
  <c r="P23" i="19"/>
  <c r="AE23" i="19" s="1"/>
  <c r="P31" i="19"/>
  <c r="AE31" i="19" s="1"/>
  <c r="P17" i="19"/>
  <c r="AE17" i="19" s="1"/>
  <c r="P33" i="19"/>
  <c r="AE33" i="19" s="1"/>
  <c r="P10" i="19"/>
  <c r="AE10" i="19" s="1"/>
  <c r="P26" i="19"/>
  <c r="AE26" i="19" s="1"/>
  <c r="P28" i="19"/>
  <c r="AE28" i="19" s="1"/>
  <c r="P8" i="19"/>
  <c r="AE8" i="19" s="1"/>
  <c r="P16" i="19"/>
  <c r="AE16" i="19" s="1"/>
  <c r="P24" i="19"/>
  <c r="AE24" i="19" s="1"/>
  <c r="P32" i="19"/>
  <c r="AE32" i="19" s="1"/>
  <c r="P9" i="19"/>
  <c r="AE9" i="19" s="1"/>
  <c r="P25" i="19"/>
  <c r="AE25" i="19" s="1"/>
  <c r="P18" i="19"/>
  <c r="AE18" i="19" s="1"/>
  <c r="P34" i="19"/>
  <c r="AE34" i="19" s="1"/>
  <c r="P20" i="19"/>
  <c r="AE20" i="19" s="1"/>
  <c r="P29" i="19"/>
  <c r="AE29" i="19" s="1"/>
  <c r="P14" i="19"/>
  <c r="AE14" i="19" s="1"/>
  <c r="P21" i="19"/>
  <c r="AE21" i="19" s="1"/>
  <c r="P22" i="19"/>
  <c r="AE22" i="19" s="1"/>
  <c r="P13" i="19"/>
  <c r="AE13" i="19" s="1"/>
  <c r="P6" i="19"/>
  <c r="AE6" i="19" s="1"/>
  <c r="P11" i="19"/>
  <c r="AE11" i="19" s="1"/>
  <c r="P19" i="19"/>
  <c r="AE19" i="19" s="1"/>
  <c r="P27" i="19"/>
  <c r="AE27" i="19" s="1"/>
  <c r="P35" i="19"/>
  <c r="AE35" i="19" s="1"/>
  <c r="P12" i="19"/>
  <c r="AE12" i="19" s="1"/>
  <c r="P36" i="19"/>
  <c r="AE36" i="19" s="1"/>
  <c r="P37" i="19"/>
  <c r="AE37" i="19" s="1"/>
  <c r="F6" i="11"/>
  <c r="F7" i="11"/>
  <c r="F8" i="11"/>
  <c r="E15" i="11"/>
  <c r="F15" i="11" s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5" i="7"/>
  <c r="G22" i="7"/>
  <c r="G23" i="7"/>
  <c r="G24" i="7"/>
  <c r="G25" i="7"/>
  <c r="G26" i="7"/>
  <c r="G27" i="7"/>
  <c r="G28" i="7"/>
  <c r="D9" i="8" s="1"/>
  <c r="R22" i="7"/>
  <c r="R23" i="7"/>
  <c r="R24" i="7"/>
  <c r="R25" i="7"/>
  <c r="R26" i="7"/>
  <c r="R27" i="7"/>
  <c r="R28" i="7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35" i="9"/>
  <c r="C52" i="9"/>
  <c r="B22" i="7" s="1"/>
  <c r="C53" i="9"/>
  <c r="B23" i="7" s="1"/>
  <c r="C54" i="9"/>
  <c r="B24" i="7" s="1"/>
  <c r="C55" i="9"/>
  <c r="B25" i="7" s="1"/>
  <c r="C56" i="9"/>
  <c r="B26" i="7" s="1"/>
  <c r="C57" i="9"/>
  <c r="B27" i="7" s="1"/>
  <c r="C58" i="9"/>
  <c r="B28" i="7" s="1"/>
  <c r="D52" i="9"/>
  <c r="D53" i="9"/>
  <c r="D54" i="9"/>
  <c r="D55" i="9"/>
  <c r="D56" i="9"/>
  <c r="D57" i="9"/>
  <c r="D58" i="9"/>
  <c r="J58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5" i="9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5" i="7"/>
  <c r="C6" i="9"/>
  <c r="C36" i="9" s="1"/>
  <c r="B6" i="7" s="1"/>
  <c r="C7" i="9"/>
  <c r="C37" i="9" s="1"/>
  <c r="B7" i="7" s="1"/>
  <c r="C8" i="9"/>
  <c r="C38" i="9" s="1"/>
  <c r="B8" i="7" s="1"/>
  <c r="C9" i="9"/>
  <c r="C39" i="9" s="1"/>
  <c r="B9" i="7" s="1"/>
  <c r="C10" i="9"/>
  <c r="C40" i="9" s="1"/>
  <c r="B10" i="7" s="1"/>
  <c r="C11" i="9"/>
  <c r="C41" i="9" s="1"/>
  <c r="B11" i="7" s="1"/>
  <c r="C12" i="9"/>
  <c r="C42" i="9" s="1"/>
  <c r="B12" i="7" s="1"/>
  <c r="C13" i="9"/>
  <c r="C43" i="9" s="1"/>
  <c r="B13" i="7" s="1"/>
  <c r="C14" i="9"/>
  <c r="C44" i="9" s="1"/>
  <c r="B14" i="7" s="1"/>
  <c r="C15" i="9"/>
  <c r="C45" i="9" s="1"/>
  <c r="B15" i="7" s="1"/>
  <c r="C16" i="9"/>
  <c r="C46" i="9" s="1"/>
  <c r="B16" i="7" s="1"/>
  <c r="C17" i="9"/>
  <c r="C47" i="9" s="1"/>
  <c r="B17" i="7" s="1"/>
  <c r="C18" i="9"/>
  <c r="C48" i="9" s="1"/>
  <c r="B18" i="7" s="1"/>
  <c r="C19" i="9"/>
  <c r="C49" i="9" s="1"/>
  <c r="B19" i="7" s="1"/>
  <c r="C20" i="9"/>
  <c r="C50" i="9" s="1"/>
  <c r="B20" i="7" s="1"/>
  <c r="C21" i="9"/>
  <c r="C51" i="9" s="1"/>
  <c r="B21" i="7" s="1"/>
  <c r="C5" i="9"/>
  <c r="C35" i="9" s="1"/>
  <c r="B5" i="7" s="1"/>
  <c r="E6" i="9"/>
  <c r="D36" i="9" s="1"/>
  <c r="E7" i="9"/>
  <c r="D37" i="9" s="1"/>
  <c r="E8" i="9"/>
  <c r="G8" i="7" s="1"/>
  <c r="E9" i="9"/>
  <c r="D39" i="9" s="1"/>
  <c r="E10" i="9"/>
  <c r="D40" i="9" s="1"/>
  <c r="E11" i="9"/>
  <c r="D41" i="9" s="1"/>
  <c r="E12" i="9"/>
  <c r="G12" i="7" s="1"/>
  <c r="E13" i="9"/>
  <c r="D43" i="9" s="1"/>
  <c r="E14" i="9"/>
  <c r="D44" i="9" s="1"/>
  <c r="E15" i="9"/>
  <c r="D45" i="9" s="1"/>
  <c r="E16" i="9"/>
  <c r="G16" i="7" s="1"/>
  <c r="E17" i="9"/>
  <c r="D47" i="9" s="1"/>
  <c r="E18" i="9"/>
  <c r="D48" i="9" s="1"/>
  <c r="E19" i="9"/>
  <c r="D49" i="9" s="1"/>
  <c r="E20" i="9"/>
  <c r="G20" i="7" s="1"/>
  <c r="E21" i="9"/>
  <c r="D51" i="9" s="1"/>
  <c r="E5" i="9"/>
  <c r="D35" i="9" s="1"/>
  <c r="AE38" i="19" l="1"/>
  <c r="H24" i="31" s="1"/>
  <c r="P38" i="19"/>
  <c r="C24" i="31"/>
  <c r="G18" i="7"/>
  <c r="G13" i="7"/>
  <c r="G7" i="7"/>
  <c r="D6" i="8"/>
  <c r="D11" i="8"/>
  <c r="G17" i="7"/>
  <c r="G11" i="7"/>
  <c r="G6" i="7"/>
  <c r="D7" i="8"/>
  <c r="D12" i="8"/>
  <c r="G21" i="7"/>
  <c r="G15" i="7"/>
  <c r="G10" i="7"/>
  <c r="D3" i="8"/>
  <c r="D8" i="8"/>
  <c r="G19" i="7"/>
  <c r="G14" i="7"/>
  <c r="G9" i="7"/>
  <c r="D4" i="8"/>
  <c r="D10" i="8"/>
  <c r="D50" i="9"/>
  <c r="D46" i="9"/>
  <c r="D42" i="9"/>
  <c r="D38" i="9"/>
  <c r="G5" i="7"/>
  <c r="D5" i="8"/>
  <c r="F5" i="11"/>
  <c r="Q4" i="7"/>
  <c r="P4" i="7"/>
  <c r="O4" i="7"/>
  <c r="N4" i="7"/>
  <c r="M4" i="7"/>
  <c r="L4" i="7"/>
  <c r="K4" i="7"/>
  <c r="J4" i="7"/>
  <c r="I4" i="7"/>
  <c r="H4" i="7"/>
  <c r="E13" i="8"/>
  <c r="F13" i="8"/>
  <c r="G13" i="8"/>
  <c r="C2" i="8"/>
  <c r="D2" i="8"/>
  <c r="E2" i="8"/>
  <c r="F2" i="8"/>
  <c r="G2" i="8"/>
  <c r="B3" i="8"/>
  <c r="B4" i="8"/>
  <c r="B5" i="8"/>
  <c r="B6" i="8"/>
  <c r="B7" i="8"/>
  <c r="B8" i="8"/>
  <c r="B9" i="8"/>
  <c r="B10" i="8"/>
  <c r="B11" i="8"/>
  <c r="A2" i="8"/>
  <c r="B12" i="8"/>
  <c r="A4" i="8"/>
  <c r="A5" i="8"/>
  <c r="A6" i="8"/>
  <c r="A7" i="8"/>
  <c r="A8" i="8"/>
  <c r="A9" i="8"/>
  <c r="A10" i="8"/>
  <c r="A11" i="8"/>
  <c r="A12" i="8"/>
  <c r="A3" i="8"/>
  <c r="K57" i="14" l="1"/>
  <c r="K61" i="14"/>
  <c r="E11" i="31"/>
  <c r="D13" i="8"/>
  <c r="C11" i="8"/>
  <c r="H11" i="8" s="1"/>
  <c r="C7" i="8"/>
  <c r="H7" i="8" s="1"/>
  <c r="C3" i="8"/>
  <c r="C10" i="8"/>
  <c r="H10" i="8" s="1"/>
  <c r="C6" i="8"/>
  <c r="H6" i="8" s="1"/>
  <c r="G29" i="7"/>
  <c r="C9" i="8"/>
  <c r="H9" i="8" s="1"/>
  <c r="C5" i="8"/>
  <c r="H5" i="8" s="1"/>
  <c r="C12" i="8"/>
  <c r="H12" i="8" s="1"/>
  <c r="C8" i="8"/>
  <c r="H8" i="8" s="1"/>
  <c r="C4" i="8"/>
  <c r="H4" i="8" s="1"/>
  <c r="I67" i="14" l="1"/>
  <c r="K67" i="14" s="1"/>
  <c r="O29" i="19"/>
  <c r="AD29" i="19" s="1"/>
  <c r="O7" i="19"/>
  <c r="AD7" i="19" s="1"/>
  <c r="O15" i="19"/>
  <c r="AD15" i="19" s="1"/>
  <c r="O23" i="19"/>
  <c r="AD23" i="19" s="1"/>
  <c r="O31" i="19"/>
  <c r="AD31" i="19" s="1"/>
  <c r="O32" i="19"/>
  <c r="AD32" i="19" s="1"/>
  <c r="O17" i="19"/>
  <c r="AD17" i="19" s="1"/>
  <c r="O33" i="19"/>
  <c r="AD33" i="19" s="1"/>
  <c r="O10" i="19"/>
  <c r="AD10" i="19" s="1"/>
  <c r="O26" i="19"/>
  <c r="AD26" i="19" s="1"/>
  <c r="O12" i="19"/>
  <c r="AD12" i="19" s="1"/>
  <c r="O36" i="19"/>
  <c r="AD36" i="19" s="1"/>
  <c r="O13" i="19"/>
  <c r="AD13" i="19" s="1"/>
  <c r="O22" i="19"/>
  <c r="AD22" i="19" s="1"/>
  <c r="O8" i="19"/>
  <c r="AD8" i="19" s="1"/>
  <c r="O16" i="19"/>
  <c r="AD16" i="19" s="1"/>
  <c r="O24" i="19"/>
  <c r="O9" i="19"/>
  <c r="AD9" i="19" s="1"/>
  <c r="O25" i="19"/>
  <c r="AD25" i="19" s="1"/>
  <c r="O18" i="19"/>
  <c r="AD18" i="19" s="1"/>
  <c r="O34" i="19"/>
  <c r="AD34" i="19" s="1"/>
  <c r="O35" i="19"/>
  <c r="AD35" i="19" s="1"/>
  <c r="O20" i="19"/>
  <c r="AD20" i="19" s="1"/>
  <c r="O30" i="19"/>
  <c r="AD30" i="19" s="1"/>
  <c r="O6" i="19"/>
  <c r="AD6" i="19" s="1"/>
  <c r="O21" i="19"/>
  <c r="AD21" i="19" s="1"/>
  <c r="O11" i="19"/>
  <c r="AD11" i="19" s="1"/>
  <c r="O19" i="19"/>
  <c r="AD19" i="19" s="1"/>
  <c r="O27" i="19"/>
  <c r="AD27" i="19" s="1"/>
  <c r="O28" i="19"/>
  <c r="AD28" i="19" s="1"/>
  <c r="O37" i="19"/>
  <c r="AD37" i="19" s="1"/>
  <c r="O14" i="19"/>
  <c r="AD14" i="19" s="1"/>
  <c r="AD24" i="19"/>
  <c r="H11" i="31"/>
  <c r="C23" i="31" s="1"/>
  <c r="F24" i="31"/>
  <c r="G24" i="31" s="1"/>
  <c r="C13" i="8"/>
  <c r="H3" i="8"/>
  <c r="H13" i="8" s="1"/>
  <c r="AD38" i="19" l="1"/>
  <c r="H23" i="31" s="1"/>
  <c r="O38" i="19"/>
  <c r="F60" i="9"/>
  <c r="G60" i="9"/>
  <c r="H60" i="9"/>
  <c r="I60" i="9"/>
  <c r="J52" i="9"/>
  <c r="J53" i="9"/>
  <c r="J54" i="9"/>
  <c r="J55" i="9"/>
  <c r="J56" i="9"/>
  <c r="E36" i="9"/>
  <c r="J36" i="9" s="1"/>
  <c r="E37" i="9"/>
  <c r="J37" i="9" s="1"/>
  <c r="E38" i="9"/>
  <c r="J38" i="9" s="1"/>
  <c r="E39" i="9"/>
  <c r="J39" i="9" s="1"/>
  <c r="E40" i="9"/>
  <c r="J40" i="9" s="1"/>
  <c r="E41" i="9"/>
  <c r="J41" i="9" s="1"/>
  <c r="E42" i="9"/>
  <c r="J42" i="9" s="1"/>
  <c r="E43" i="9"/>
  <c r="J43" i="9" s="1"/>
  <c r="E44" i="9"/>
  <c r="J44" i="9" s="1"/>
  <c r="E45" i="9"/>
  <c r="J45" i="9" s="1"/>
  <c r="E46" i="9"/>
  <c r="J46" i="9" s="1"/>
  <c r="E47" i="9"/>
  <c r="J47" i="9" s="1"/>
  <c r="E48" i="9"/>
  <c r="J48" i="9" s="1"/>
  <c r="E49" i="9"/>
  <c r="J49" i="9" s="1"/>
  <c r="E50" i="9"/>
  <c r="J50" i="9" s="1"/>
  <c r="E51" i="9"/>
  <c r="J51" i="9" s="1"/>
  <c r="E35" i="9"/>
  <c r="E29" i="9"/>
  <c r="E60" i="9" l="1"/>
  <c r="J35" i="9"/>
  <c r="J60" i="9" s="1"/>
  <c r="D60" i="9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5" i="7"/>
  <c r="D70" i="14" l="1"/>
  <c r="D72" i="14" s="1"/>
  <c r="C17" i="31"/>
  <c r="D69" i="14"/>
  <c r="E69" i="14" s="1"/>
  <c r="B17" i="31"/>
  <c r="E70" i="14" l="1"/>
  <c r="E72" i="14" s="1"/>
  <c r="F23" i="31"/>
  <c r="G23" i="31" s="1"/>
  <c r="C76" i="14" l="1"/>
  <c r="E59" i="14" s="1"/>
  <c r="W61" i="14"/>
  <c r="U67" i="14" l="1"/>
  <c r="W67" i="14" s="1"/>
  <c r="Q14" i="19"/>
  <c r="AF14" i="19" s="1"/>
  <c r="Q22" i="19"/>
  <c r="AF22" i="19" s="1"/>
  <c r="Q7" i="19"/>
  <c r="AF7" i="19" s="1"/>
  <c r="Q15" i="19"/>
  <c r="AF15" i="19" s="1"/>
  <c r="Q23" i="19"/>
  <c r="AF23" i="19" s="1"/>
  <c r="Q31" i="19"/>
  <c r="AF31" i="19" s="1"/>
  <c r="Q9" i="19"/>
  <c r="AF9" i="19" s="1"/>
  <c r="Q17" i="19"/>
  <c r="AF17" i="19" s="1"/>
  <c r="Q33" i="19"/>
  <c r="AF33" i="19" s="1"/>
  <c r="Q10" i="19"/>
  <c r="AF10" i="19" s="1"/>
  <c r="Q26" i="19"/>
  <c r="AF26" i="19" s="1"/>
  <c r="Q20" i="19"/>
  <c r="AF20" i="19" s="1"/>
  <c r="Q36" i="19"/>
  <c r="AF36" i="19" s="1"/>
  <c r="Q13" i="19"/>
  <c r="AF13" i="19" s="1"/>
  <c r="Q37" i="19"/>
  <c r="AF37" i="19" s="1"/>
  <c r="Q6" i="19"/>
  <c r="AF6" i="19" s="1"/>
  <c r="Q8" i="19"/>
  <c r="AF8" i="19" s="1"/>
  <c r="Q16" i="19"/>
  <c r="AF16" i="19" s="1"/>
  <c r="Q24" i="19"/>
  <c r="AF24" i="19" s="1"/>
  <c r="Q32" i="19"/>
  <c r="AF32" i="19" s="1"/>
  <c r="Q25" i="19"/>
  <c r="AF25" i="19" s="1"/>
  <c r="Q18" i="19"/>
  <c r="AF18" i="19" s="1"/>
  <c r="Q34" i="19"/>
  <c r="AF34" i="19" s="1"/>
  <c r="Q28" i="19"/>
  <c r="AF28" i="19" s="1"/>
  <c r="Q21" i="19"/>
  <c r="AF21" i="19" s="1"/>
  <c r="Q11" i="19"/>
  <c r="AF11" i="19" s="1"/>
  <c r="Q19" i="19"/>
  <c r="AF19" i="19" s="1"/>
  <c r="Q27" i="19"/>
  <c r="AF27" i="19" s="1"/>
  <c r="Q35" i="19"/>
  <c r="AF35" i="19" s="1"/>
  <c r="Q12" i="19"/>
  <c r="AF12" i="19" s="1"/>
  <c r="Q29" i="19"/>
  <c r="AF29" i="19" s="1"/>
  <c r="Q30" i="19"/>
  <c r="AF30" i="19" s="1"/>
  <c r="D10" i="31"/>
  <c r="D17" i="31" s="1"/>
  <c r="E57" i="14"/>
  <c r="E61" i="14"/>
  <c r="N22" i="19" l="1"/>
  <c r="N15" i="19"/>
  <c r="N23" i="19"/>
  <c r="N31" i="19"/>
  <c r="N8" i="19"/>
  <c r="N32" i="19"/>
  <c r="N25" i="19"/>
  <c r="N10" i="19"/>
  <c r="N18" i="19"/>
  <c r="N34" i="19"/>
  <c r="N11" i="19"/>
  <c r="N27" i="19"/>
  <c r="N12" i="19"/>
  <c r="N36" i="19"/>
  <c r="N37" i="19"/>
  <c r="N6" i="19"/>
  <c r="AC6" i="19" s="1"/>
  <c r="AI6" i="19" s="1"/>
  <c r="N16" i="19"/>
  <c r="N24" i="19"/>
  <c r="N9" i="19"/>
  <c r="N17" i="19"/>
  <c r="N33" i="19"/>
  <c r="N26" i="19"/>
  <c r="N35" i="19"/>
  <c r="N28" i="19"/>
  <c r="N21" i="19"/>
  <c r="N29" i="19"/>
  <c r="N14" i="19"/>
  <c r="N30" i="19"/>
  <c r="N19" i="19"/>
  <c r="N20" i="19"/>
  <c r="N13" i="19"/>
  <c r="N7" i="19"/>
  <c r="AF38" i="19"/>
  <c r="H25" i="31" s="1"/>
  <c r="G25" i="31" s="1"/>
  <c r="C67" i="14"/>
  <c r="E67" i="14" s="1"/>
  <c r="Q38" i="19"/>
  <c r="E10" i="31"/>
  <c r="T6" i="19" l="1"/>
  <c r="T31" i="19"/>
  <c r="AC31" i="19"/>
  <c r="AI31" i="19" s="1"/>
  <c r="T8" i="19"/>
  <c r="AC8" i="19"/>
  <c r="AI8" i="19" s="1"/>
  <c r="T28" i="19"/>
  <c r="AC28" i="19"/>
  <c r="AI28" i="19" s="1"/>
  <c r="T17" i="19"/>
  <c r="AC17" i="19"/>
  <c r="AI17" i="19" s="1"/>
  <c r="T12" i="19"/>
  <c r="AC12" i="19"/>
  <c r="AI12" i="19" s="1"/>
  <c r="T20" i="19"/>
  <c r="AC20" i="19"/>
  <c r="AI20" i="19" s="1"/>
  <c r="T9" i="19"/>
  <c r="AC9" i="19"/>
  <c r="AI9" i="19" s="1"/>
  <c r="T19" i="19"/>
  <c r="AC19" i="19"/>
  <c r="AI19" i="19" s="1"/>
  <c r="T30" i="19"/>
  <c r="AC30" i="19"/>
  <c r="AI30" i="19" s="1"/>
  <c r="T37" i="19"/>
  <c r="AC37" i="19"/>
  <c r="AI37" i="19" s="1"/>
  <c r="T14" i="19"/>
  <c r="AC14" i="19"/>
  <c r="AI14" i="19" s="1"/>
  <c r="T16" i="19"/>
  <c r="AC16" i="19"/>
  <c r="AI16" i="19" s="1"/>
  <c r="T15" i="19"/>
  <c r="AC15" i="19"/>
  <c r="AI15" i="19" s="1"/>
  <c r="T26" i="19"/>
  <c r="AC26" i="19"/>
  <c r="AI26" i="19" s="1"/>
  <c r="T33" i="19"/>
  <c r="AC33" i="19"/>
  <c r="AI33" i="19" s="1"/>
  <c r="T13" i="19"/>
  <c r="AC13" i="19"/>
  <c r="AI13" i="19" s="1"/>
  <c r="T34" i="19"/>
  <c r="AC34" i="19"/>
  <c r="AI34" i="19" s="1"/>
  <c r="T11" i="19"/>
  <c r="AC11" i="19"/>
  <c r="AI11" i="19" s="1"/>
  <c r="T10" i="19"/>
  <c r="AC10" i="19"/>
  <c r="AI10" i="19" s="1"/>
  <c r="T29" i="19"/>
  <c r="AC29" i="19"/>
  <c r="AI29" i="19" s="1"/>
  <c r="T24" i="19"/>
  <c r="AC24" i="19"/>
  <c r="AI24" i="19" s="1"/>
  <c r="T18" i="19"/>
  <c r="AC18" i="19"/>
  <c r="AI18" i="19" s="1"/>
  <c r="T36" i="19"/>
  <c r="AC36" i="19"/>
  <c r="AI36" i="19" s="1"/>
  <c r="T25" i="19"/>
  <c r="AC25" i="19"/>
  <c r="AI25" i="19" s="1"/>
  <c r="T27" i="19"/>
  <c r="AC27" i="19"/>
  <c r="AI27" i="19" s="1"/>
  <c r="T23" i="19"/>
  <c r="AC23" i="19"/>
  <c r="AI23" i="19" s="1"/>
  <c r="T7" i="19"/>
  <c r="AC7" i="19"/>
  <c r="T35" i="19"/>
  <c r="AC35" i="19"/>
  <c r="AI35" i="19" s="1"/>
  <c r="T22" i="19"/>
  <c r="AC22" i="19"/>
  <c r="AI22" i="19" s="1"/>
  <c r="T32" i="19"/>
  <c r="AC32" i="19"/>
  <c r="AI32" i="19" s="1"/>
  <c r="T21" i="19"/>
  <c r="AC21" i="19"/>
  <c r="AI21" i="19" s="1"/>
  <c r="H10" i="31"/>
  <c r="C22" i="31" s="1"/>
  <c r="F22" i="31" s="1"/>
  <c r="E17" i="31"/>
  <c r="N38" i="19"/>
  <c r="T38" i="19" l="1"/>
  <c r="AI7" i="19"/>
  <c r="AI38" i="19" s="1"/>
  <c r="AC38" i="19"/>
  <c r="F29" i="31"/>
  <c r="H22" i="31" l="1"/>
  <c r="G22" i="31" l="1"/>
  <c r="G29" i="31" s="1"/>
  <c r="H29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Authorized User</author>
  </authors>
  <commentList>
    <comment ref="D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Enter the total units that are applicable for the baseline period used in measuring the actual cost data. In some cases, this could be a carry-over value, such as open number of projects. If you are using a "carry-over" value, you may have to normalize this value so that it equates over to the Actual Cost baseline period. </t>
        </r>
      </text>
    </comment>
    <comment ref="E4" authorId="0" shapeId="0" xr:uid="{00000000-0006-0000-0300-000002000000}">
      <text>
        <r>
          <rPr>
            <sz val="8"/>
            <color indexed="81"/>
            <rFont val="Tahoma"/>
            <family val="2"/>
          </rPr>
          <t>Unit Cost = Total Activity Cost per Tab 4 divided by the Total Units. This information gives you insights into how much do we charge for this activity or service?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Authorized User</author>
  </authors>
  <commentList>
    <comment ref="C4" authorId="0" shapeId="0" xr:uid="{00000000-0006-0000-0600-000001000000}">
      <text>
        <r>
          <rPr>
            <sz val="8"/>
            <color indexed="81"/>
            <rFont val="Tahoma"/>
            <family val="2"/>
          </rPr>
          <t>Enter a name for the specific resource pool within the cost domain (DMC) such as Network Engineering Group or Equipment Maintenance Personnel.</t>
        </r>
      </text>
    </comment>
    <comment ref="E4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Enter the total actual costs for the resource pool. </t>
        </r>
      </text>
    </comment>
    <comment ref="J4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Indicate the time frame that the actual cost relates to, such as 1st Q FY2006, July 2007, Jan thru June 2006, etc. This is the baseline period used for populating this spreadsheet model. </t>
        </r>
      </text>
    </comment>
    <comment ref="C33" authorId="0" shapeId="0" xr:uid="{00000000-0006-0000-0600-000004000000}">
      <text>
        <r>
          <rPr>
            <sz val="8"/>
            <color indexed="81"/>
            <rFont val="Tahoma"/>
            <family val="2"/>
          </rPr>
          <t>Enter a name for the specific resource pool within the cost domain (DMC) such as Network Engineering Group or Equipment Maintenance Personnel.</t>
        </r>
      </text>
    </comment>
    <comment ref="C34" authorId="0" shapeId="0" xr:uid="{00000000-0006-0000-0600-000005000000}">
      <text>
        <r>
          <rPr>
            <sz val="8"/>
            <color indexed="81"/>
            <rFont val="Tahoma"/>
            <family val="2"/>
          </rPr>
          <t>Enter a name for the specific resource pool within the cost domain (DMC) such as Network Engineering Group or Equipment Maintenance Personnel.</t>
        </r>
      </text>
    </comment>
    <comment ref="D34" authorId="0" shapeId="0" xr:uid="{00000000-0006-0000-0600-000006000000}">
      <text>
        <r>
          <rPr>
            <sz val="8"/>
            <color indexed="81"/>
            <rFont val="Tahoma"/>
            <family val="2"/>
          </rPr>
          <t xml:space="preserve">Enter the total actual costs for the resource pool.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Jones</author>
  </authors>
  <commentList>
    <comment ref="A3" authorId="0" shapeId="0" xr:uid="{00000000-0006-0000-0800-000001000000}">
      <text>
        <r>
          <rPr>
            <sz val="8"/>
            <color indexed="81"/>
            <rFont val="Tahoma"/>
            <family val="2"/>
          </rPr>
          <t>Research and Extension  Center will update to match information from Self Certification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Jones</author>
  </authors>
  <commentList>
    <comment ref="A3" authorId="0" shapeId="0" xr:uid="{00000000-0006-0000-0F00-000001000000}">
      <text>
        <r>
          <rPr>
            <sz val="8"/>
            <color indexed="81"/>
            <rFont val="Tahoma"/>
            <family val="2"/>
          </rPr>
          <t>Research and Extension  Center will update to match information from Self Certification</t>
        </r>
      </text>
    </comment>
  </commentList>
</comments>
</file>

<file path=xl/sharedStrings.xml><?xml version="1.0" encoding="utf-8"?>
<sst xmlns="http://schemas.openxmlformats.org/spreadsheetml/2006/main" count="1211" uniqueCount="570">
  <si>
    <t>Desert Research &amp; Extension Centers</t>
  </si>
  <si>
    <t>FTE</t>
  </si>
  <si>
    <t>Employee Name</t>
  </si>
  <si>
    <t>Title</t>
  </si>
  <si>
    <t>ORTEGA,ROGELIO</t>
  </si>
  <si>
    <t>AGRICULTURE SUPV 2</t>
  </si>
  <si>
    <t>Title Code</t>
  </si>
  <si>
    <t>PRIN AGRIC TECHNICIAN</t>
  </si>
  <si>
    <t>STAFF RES ASSOC 2</t>
  </si>
  <si>
    <t>MACIEL,FRANCISCO T</t>
  </si>
  <si>
    <t>MAGALLON,GILBERTO</t>
  </si>
  <si>
    <t xml:space="preserve">AGRIC TECHNICIAN </t>
  </si>
  <si>
    <t>SAMBRANO,EFRAIN R</t>
  </si>
  <si>
    <t>Productive Hours</t>
  </si>
  <si>
    <t>Function</t>
  </si>
  <si>
    <t>Function 1</t>
  </si>
  <si>
    <t>Function 2</t>
  </si>
  <si>
    <t>Function 3</t>
  </si>
  <si>
    <t>Function 4</t>
  </si>
  <si>
    <t>Function 5</t>
  </si>
  <si>
    <t>Function 6</t>
  </si>
  <si>
    <t>Function 7</t>
  </si>
  <si>
    <t>Function 8</t>
  </si>
  <si>
    <t>Function 9</t>
  </si>
  <si>
    <t>Function 10</t>
  </si>
  <si>
    <t>Total</t>
  </si>
  <si>
    <t>ADAMS,WILLIAM L</t>
  </si>
  <si>
    <t>SR BLDG MAINT WORKER</t>
  </si>
  <si>
    <t>ARREDONDO,VICTOR H</t>
  </si>
  <si>
    <t>SR CUSTODIAN</t>
  </si>
  <si>
    <t>DRISKILL,DEBRA L</t>
  </si>
  <si>
    <t>ADMIN OFFICER 4</t>
  </si>
  <si>
    <t>LOPEZ GOMEZ,GERSAIN</t>
  </si>
  <si>
    <t>MARTINEZ,SERGIO M.</t>
  </si>
  <si>
    <t>ANIMAL TECHNICIAN</t>
  </si>
  <si>
    <t>PLACEHOLDER FOR ARREDONDO WORK TIME IN RES</t>
  </si>
  <si>
    <t>PRECIADO,DAVID R</t>
  </si>
  <si>
    <t>PHYS PLT MECH 2</t>
  </si>
  <si>
    <t>ASSOC SPECIALIST COOP EXT</t>
  </si>
  <si>
    <t>PROVISION: TC 9617 (PREVIOUS MAGALLON)</t>
  </si>
  <si>
    <t>QUINTANA,SILVIA</t>
  </si>
  <si>
    <t>BLANK ASST 2</t>
  </si>
  <si>
    <t>SEVERE,JENNA N</t>
  </si>
  <si>
    <t>SILVA,ARMANDO</t>
  </si>
  <si>
    <t>FARM MACHINERY MECH</t>
  </si>
  <si>
    <t>WILLS,STACEY C</t>
  </si>
  <si>
    <t>CMTY EDUC SPEC 3</t>
  </si>
  <si>
    <t xml:space="preserve">Total </t>
  </si>
  <si>
    <t>Detail of Function</t>
  </si>
  <si>
    <t>Step 1 - Capture the total overall costs for each resource pool</t>
  </si>
  <si>
    <t>Time</t>
  </si>
  <si>
    <t>Identifier</t>
  </si>
  <si>
    <t>Type of Cost</t>
  </si>
  <si>
    <t>Description of Resource Pool</t>
  </si>
  <si>
    <t>Source of Data</t>
  </si>
  <si>
    <t>Personnel</t>
  </si>
  <si>
    <t>Equipment</t>
  </si>
  <si>
    <t>Supplies &amp; Expense</t>
  </si>
  <si>
    <t>Contract Labor</t>
  </si>
  <si>
    <t>Utilities</t>
  </si>
  <si>
    <t>Fuel</t>
  </si>
  <si>
    <t>Chemicals</t>
  </si>
  <si>
    <t>Deferred Maintenance</t>
  </si>
  <si>
    <t>Misc Supplies &amp; Expenses</t>
  </si>
  <si>
    <t>Monthly Total Cost</t>
  </si>
  <si>
    <t>Time Frame</t>
  </si>
  <si>
    <t>Indirect Cost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</si>
  <si>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</si>
  <si>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</si>
  <si>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</si>
  <si>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</si>
  <si>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</si>
  <si>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</si>
  <si>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</si>
  <si>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</si>
  <si>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</si>
  <si>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</si>
  <si>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</si>
  <si>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</si>
  <si>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</si>
  <si>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</si>
  <si>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</si>
  <si>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</si>
  <si>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</si>
  <si>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</si>
  <si>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</si>
  <si>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</si>
  <si>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</si>
  <si>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</si>
  <si>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</si>
  <si>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</si>
  <si>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A.n.1</t>
  </si>
  <si>
    <t>A.n.2</t>
  </si>
  <si>
    <t>A.n.3</t>
  </si>
  <si>
    <t>A.n.4</t>
  </si>
  <si>
    <t>Defferred Maintenance</t>
  </si>
  <si>
    <t>A.n.5</t>
  </si>
  <si>
    <t>Total Cost</t>
  </si>
  <si>
    <t>Actual Annual Costs</t>
  </si>
  <si>
    <t>Direct Labor Costs</t>
  </si>
  <si>
    <t>Cost</t>
  </si>
  <si>
    <t>Pruning</t>
  </si>
  <si>
    <t>Triming</t>
  </si>
  <si>
    <t>Cropping</t>
  </si>
  <si>
    <t>Assist with Research</t>
  </si>
  <si>
    <t>Amount</t>
  </si>
  <si>
    <t>Sub-Total</t>
  </si>
  <si>
    <t xml:space="preserve">Administering </t>
  </si>
  <si>
    <t>Managing ….</t>
  </si>
  <si>
    <t>Row Labels</t>
  </si>
  <si>
    <t>Sum of July 1, 2017 FTE Balance</t>
  </si>
  <si>
    <t>Sum of July 1, 2017 Amount</t>
  </si>
  <si>
    <t>Sum of Salary &amp; Bene</t>
  </si>
  <si>
    <t>Grand Total</t>
  </si>
  <si>
    <t>Questions:</t>
  </si>
  <si>
    <t>Should I use annual or monthly cost</t>
  </si>
  <si>
    <t>How were provisions spent?</t>
  </si>
  <si>
    <t>Annual Total Cost</t>
  </si>
  <si>
    <t>PLACEHOLDER FOR CENTER DIRECTOR DIAZ-RAMIREZ</t>
  </si>
  <si>
    <t>Hours Per Function</t>
  </si>
  <si>
    <t>Cost/Hours per Function</t>
  </si>
  <si>
    <t>Total Personnel Cost</t>
  </si>
  <si>
    <t>Supplies &amp; Expenses</t>
  </si>
  <si>
    <t>Non-Personnel Cost</t>
  </si>
  <si>
    <t>Division of Agriculture &amp; Natural Resources</t>
  </si>
  <si>
    <t>Proposed Cost</t>
  </si>
  <si>
    <t>Output Metric (Activity Driver)</t>
  </si>
  <si>
    <t>Activities per Tab 4</t>
  </si>
  <si>
    <t>Misc vehicle maintenance and repair</t>
  </si>
  <si>
    <t>Depreciation</t>
  </si>
  <si>
    <t>UNIVERSITY OF CALIFORNIA, ANR - RECHARGE ACTIVITY REVIEW AND PROPOSAL</t>
  </si>
  <si>
    <t>Months</t>
  </si>
  <si>
    <t xml:space="preserve"> </t>
  </si>
  <si>
    <t xml:space="preserve">Unit Name: </t>
  </si>
  <si>
    <t>DREC</t>
  </si>
  <si>
    <t>Program Year:</t>
  </si>
  <si>
    <t>2016-17</t>
  </si>
  <si>
    <t>Need Help? Instructions and Video Demonstration</t>
  </si>
  <si>
    <t>Object Code or Identifier</t>
  </si>
  <si>
    <t xml:space="preserve">Supplies and Expenses
</t>
  </si>
  <si>
    <t>Projected Amount</t>
  </si>
  <si>
    <t>Notes</t>
  </si>
  <si>
    <t>ELECTRICITY FOR IRRIGATION PUMPS</t>
  </si>
  <si>
    <t>IRRIGATION WATER</t>
  </si>
  <si>
    <t>FUEL</t>
  </si>
  <si>
    <t>FERTILIZER</t>
  </si>
  <si>
    <t>COVER CROP SEED</t>
  </si>
  <si>
    <t>CHEMICALS</t>
  </si>
  <si>
    <t>RESEARCH EQUIPMENT PARTS</t>
  </si>
  <si>
    <t>Lee Tire -tire replacement</t>
  </si>
  <si>
    <t xml:space="preserve">TOTAL SUPPLIES &amp; EXPENSE </t>
  </si>
  <si>
    <t>Data must be added manually</t>
  </si>
  <si>
    <t>Data generated from formula</t>
  </si>
  <si>
    <t>DESERT RESEARCH &amp; EXTENSION CENTER  2017-2018</t>
  </si>
  <si>
    <t>RATE CALCULATION</t>
  </si>
  <si>
    <t xml:space="preserve">PROJECTED GENERAL OPERATING COSTS </t>
  </si>
  <si>
    <t>Composite</t>
  </si>
  <si>
    <t>Benefits</t>
  </si>
  <si>
    <t>Salary Leave</t>
  </si>
  <si>
    <t>Benefit</t>
  </si>
  <si>
    <t>Salaries and Benefits</t>
  </si>
  <si>
    <t>Salary</t>
  </si>
  <si>
    <t>Assessment</t>
  </si>
  <si>
    <t>Leave</t>
  </si>
  <si>
    <t>Total Annual</t>
  </si>
  <si>
    <t xml:space="preserve"> Personnel</t>
  </si>
  <si>
    <t>%</t>
  </si>
  <si>
    <t>Rate</t>
  </si>
  <si>
    <t>$</t>
  </si>
  <si>
    <t>Center Supt Magallon 8878</t>
  </si>
  <si>
    <t>mos @</t>
  </si>
  <si>
    <t>@</t>
  </si>
  <si>
    <t>per month</t>
  </si>
  <si>
    <t>Prin Ag Tech (SX) 8540 Ortega-1step (2%)</t>
  </si>
  <si>
    <t>RANGE ADJ 10/01/17 3%</t>
  </si>
  <si>
    <t>SRA II (RX) Maciel,F 9617</t>
  </si>
  <si>
    <t>3% 10-01-17</t>
  </si>
  <si>
    <t>Ag Technician Sambrano, E (SX) 8542 2%</t>
  </si>
  <si>
    <t>3% Range 10/01/17</t>
  </si>
  <si>
    <t>Ag Tech Gersain SX 8542 2%</t>
  </si>
  <si>
    <t>3% rang 10/01/17</t>
  </si>
  <si>
    <t>Total Salaries and Benefits</t>
  </si>
  <si>
    <t>Materials and supplies (from budget worksheet)</t>
  </si>
  <si>
    <t>Equipment Depreciation</t>
  </si>
  <si>
    <t>From Depreciation Table (equipment used for research not attributable to any grant or specific activity)</t>
  </si>
  <si>
    <t>Adjustment for Previous Years' Operations</t>
  </si>
  <si>
    <t>Deduct Surplus or Add Deficit</t>
  </si>
  <si>
    <t>DEFICIT FROM 2014-2015 WITHIN TOLORANCE LEVEL</t>
  </si>
  <si>
    <t xml:space="preserve">TOTAL PROJECTED OPERATING COSTS </t>
  </si>
  <si>
    <t>TOTAL PRODUCTIVE HOURS</t>
  </si>
  <si>
    <t>Total FTE of Productive Personnel</t>
  </si>
  <si>
    <t>Productive Hours per FTE from Worksheet</t>
  </si>
  <si>
    <t>Estimated Research Hours from Project List (should not change)</t>
  </si>
  <si>
    <t>All other labor hours from Budget Worksheet not included in FTE</t>
  </si>
  <si>
    <t>Estimated Contract Labor</t>
  </si>
  <si>
    <t>Total Productive Hours</t>
  </si>
  <si>
    <t>FULL COST RATE PER HOUR</t>
  </si>
  <si>
    <t xml:space="preserve">Subsidy </t>
  </si>
  <si>
    <t xml:space="preserve">        </t>
  </si>
  <si>
    <t>Must be a subsidy that lowers the rate for all UC customers.</t>
  </si>
  <si>
    <t xml:space="preserve">TOTAL SUBSIDIZED PROJECTED OPERATING COSTS </t>
  </si>
  <si>
    <t>SUBSIDIZED RATE PER HOUR</t>
  </si>
  <si>
    <t>Notes:</t>
  </si>
  <si>
    <t>drec</t>
  </si>
  <si>
    <t>Service 1</t>
  </si>
  <si>
    <t>Service 2</t>
  </si>
  <si>
    <t>Service 3</t>
  </si>
  <si>
    <t>Service 4</t>
  </si>
  <si>
    <t>DREC 2016-2017</t>
  </si>
  <si>
    <t xml:space="preserve">RATE CALCULATION - RESEARCH </t>
  </si>
  <si>
    <t>HOURLY LABOR RATE CALCULATION</t>
  </si>
  <si>
    <t>Productive Hour Calculation</t>
  </si>
  <si>
    <t>Yearly Standard</t>
  </si>
  <si>
    <t>Total working hours for the year</t>
  </si>
  <si>
    <t>2,088 hours</t>
  </si>
  <si>
    <t>Standard deductions (hours)</t>
  </si>
  <si>
    <t>Holidays</t>
  </si>
  <si>
    <t>13 days = 104 hours</t>
  </si>
  <si>
    <t>(1)</t>
  </si>
  <si>
    <t>Vacation leave (averaged for entire group of employees)</t>
  </si>
  <si>
    <t>18 days = 144 hours</t>
  </si>
  <si>
    <t>(2)</t>
  </si>
  <si>
    <t>Sick leave (averaged for entire group of employees)</t>
  </si>
  <si>
    <t>12 days = 96 hours</t>
  </si>
  <si>
    <t>Other administrative time off (meetings, travel, training, field days, etc.)</t>
  </si>
  <si>
    <t>Subtotal</t>
  </si>
  <si>
    <t>Other time deductions (Time not charged to recharge projects directly)</t>
  </si>
  <si>
    <t>Total deductions</t>
  </si>
  <si>
    <t xml:space="preserve">       </t>
  </si>
  <si>
    <t xml:space="preserve"> Productive Hour Standard </t>
  </si>
  <si>
    <t xml:space="preserve">(1) Based on Actual data </t>
  </si>
  <si>
    <t>(2) Estimate</t>
  </si>
  <si>
    <t>Cultural Practices per acre</t>
  </si>
  <si>
    <t>Task Code:</t>
  </si>
  <si>
    <t>hrs./event</t>
  </si>
  <si>
    <t>Task description</t>
  </si>
  <si>
    <t>Standard # hrs. per acre</t>
  </si>
  <si>
    <t>Ground preparation:</t>
  </si>
  <si>
    <t>Disc</t>
  </si>
  <si>
    <t>6 events (pre-plant &amp; post harvest)</t>
  </si>
  <si>
    <t>Plow</t>
  </si>
  <si>
    <t>1event    (post harvest)</t>
  </si>
  <si>
    <t>Land plane</t>
  </si>
  <si>
    <t>2 events (pre-plant)</t>
  </si>
  <si>
    <t>Chisel</t>
  </si>
  <si>
    <t>1 event   (pre-plant)</t>
  </si>
  <si>
    <t>Laser leveling</t>
  </si>
  <si>
    <t>Pre-irrigation</t>
  </si>
  <si>
    <t>Includes  field prep + Irrigation.</t>
  </si>
  <si>
    <t>Applies to all projects</t>
  </si>
  <si>
    <t>Cultural Practices included on Rate per Acre</t>
  </si>
  <si>
    <t>Task Code</t>
  </si>
  <si>
    <t>Bed preparation:</t>
  </si>
  <si>
    <t>Bedding</t>
  </si>
  <si>
    <t>Listing beds (30",40" &amp; 80")</t>
  </si>
  <si>
    <t>Mulching</t>
  </si>
  <si>
    <t>Rototilling beds</t>
  </si>
  <si>
    <t>Shaping</t>
  </si>
  <si>
    <t>Shaping beds for planting</t>
  </si>
  <si>
    <t>Borders</t>
  </si>
  <si>
    <t>Running borders/taps</t>
  </si>
  <si>
    <t>Flood Irrig. Prep.</t>
  </si>
  <si>
    <t>Berms &amp; drains</t>
  </si>
  <si>
    <t>Pesticide Application</t>
  </si>
  <si>
    <t>Pest control   (No-treatments)</t>
  </si>
  <si>
    <t>Fertilization</t>
  </si>
  <si>
    <t>Sidress/ Broadcast (No-treatments)</t>
  </si>
  <si>
    <t>Planting mechanical</t>
  </si>
  <si>
    <t>Air planters, Stanhay planter, Drillers.,…</t>
  </si>
  <si>
    <t>Irrigation System Management</t>
  </si>
  <si>
    <t>(gravity and pressurize system)</t>
  </si>
  <si>
    <t>Thinning</t>
  </si>
  <si>
    <t>Thinning veg.crops (one event)</t>
  </si>
  <si>
    <t>Weeding</t>
  </si>
  <si>
    <t>Weeding veg. crops (one event)</t>
  </si>
  <si>
    <t>Cultivation</t>
  </si>
  <si>
    <t>Mechanical cultivation (one event)</t>
  </si>
  <si>
    <t>SRB:</t>
  </si>
  <si>
    <t>Swath</t>
  </si>
  <si>
    <t>forage crops (alfalfa, suddan grass,...)</t>
  </si>
  <si>
    <t>Rake</t>
  </si>
  <si>
    <t>Bale</t>
  </si>
  <si>
    <t>Non- Cultural Practices included on Rate/ hour</t>
  </si>
  <si>
    <t>Task Description</t>
  </si>
  <si>
    <t>Planting</t>
  </si>
  <si>
    <t>Variety trials (manually/mechanical)</t>
  </si>
  <si>
    <t>Transplanting</t>
  </si>
  <si>
    <t>Manual/Mechanical transplanting</t>
  </si>
  <si>
    <t>Ag Instruments</t>
  </si>
  <si>
    <t>Installation/service/removal</t>
  </si>
  <si>
    <t>Flood/furrow Irrigation</t>
  </si>
  <si>
    <t>System Installation/removal/irrigation</t>
  </si>
  <si>
    <t>Drip system</t>
  </si>
  <si>
    <t>Sprinkles System</t>
  </si>
  <si>
    <t>rate applications/soil amendments</t>
  </si>
  <si>
    <t>Pesticide application</t>
  </si>
  <si>
    <t>treatment applications</t>
  </si>
  <si>
    <t>Hand Harvesting</t>
  </si>
  <si>
    <t xml:space="preserve">crop harvest by hand </t>
  </si>
  <si>
    <t>Mechanical Harvest</t>
  </si>
  <si>
    <t>crop harvest by machine</t>
  </si>
  <si>
    <t>Swath (for crop destruct)</t>
  </si>
  <si>
    <t>Rake  (for crop destruct)</t>
  </si>
  <si>
    <t>Bale   (for crop destruct)</t>
  </si>
  <si>
    <t>Data Collection</t>
  </si>
  <si>
    <t>All data related with research plots</t>
  </si>
  <si>
    <t>Post Harvest Clean Up</t>
  </si>
  <si>
    <t>Crop residues, flags, stakes, trash</t>
  </si>
  <si>
    <t>Treatment Applications</t>
  </si>
  <si>
    <t>all other treatments required</t>
  </si>
  <si>
    <t>Other Activities</t>
  </si>
  <si>
    <t xml:space="preserve">all other activities not listed </t>
  </si>
  <si>
    <t>Crop Management</t>
  </si>
  <si>
    <t>Grand-Total</t>
  </si>
  <si>
    <t>Project #</t>
  </si>
  <si>
    <t>Total Hours</t>
  </si>
  <si>
    <t>Position</t>
  </si>
  <si>
    <t>FEEDMILL RESEARCH RATE 07/01/167TO 06/30/18</t>
  </si>
  <si>
    <t>FARM MACHINERY MECHANIC-8523 SILVA 2%</t>
  </si>
  <si>
    <t>3% INCREASE 10-01-2017</t>
  </si>
  <si>
    <t>ANIMAL TECH-9525-MARTINEZ</t>
  </si>
  <si>
    <t>GAS FOR BOILER</t>
  </si>
  <si>
    <t>SCALE MAINTENANCE</t>
  </si>
  <si>
    <t>ELECTRIC</t>
  </si>
  <si>
    <t>REGULATORY FEES</t>
  </si>
  <si>
    <t>RUN-OFF WATER DISCHARGE FEE</t>
  </si>
  <si>
    <t>EQUIPMENT REPAIRS</t>
  </si>
  <si>
    <t>MISC SUPPLIES</t>
  </si>
  <si>
    <t>Fund Number</t>
  </si>
  <si>
    <t>Subsidy</t>
  </si>
  <si>
    <t>Budget</t>
  </si>
  <si>
    <t>5% REDUCTION</t>
  </si>
  <si>
    <t>TOTAL SUBSIDY FOR PROGRAM YEAR</t>
  </si>
  <si>
    <t>** contract labor is purchased from a Vendor</t>
  </si>
  <si>
    <t>Farm Machinery Mechanic</t>
  </si>
  <si>
    <t>3% Rang Adjus 10/01/17</t>
  </si>
  <si>
    <t>FUEL FOR FEEDMILL EQUIPMENT</t>
  </si>
  <si>
    <t>Land management</t>
  </si>
  <si>
    <t>GAEL</t>
  </si>
  <si>
    <t>CENTER SUPT 8878</t>
  </si>
  <si>
    <t>FARM MACHINERY MECHANIC 8523-SILVA</t>
  </si>
  <si>
    <t>3% INCREASE</t>
  </si>
  <si>
    <t>A</t>
  </si>
  <si>
    <t>B</t>
  </si>
  <si>
    <t>Total Billable Hours</t>
  </si>
  <si>
    <t>Personnel Cost</t>
  </si>
  <si>
    <t>D</t>
  </si>
  <si>
    <t>Total Proposed Cost</t>
  </si>
  <si>
    <t>Full Cost</t>
  </si>
  <si>
    <t>Type of Rate</t>
  </si>
  <si>
    <t>Per Acre Hours</t>
  </si>
  <si>
    <t>Unit Description</t>
  </si>
  <si>
    <t xml:space="preserve">Recharge Rate </t>
  </si>
  <si>
    <t>Unit of Measurement</t>
  </si>
  <si>
    <t>Adjusted Billable Hours</t>
  </si>
  <si>
    <t>Non-Billable Hours</t>
  </si>
  <si>
    <t>Adjusted Hours based on FTE</t>
  </si>
  <si>
    <t>Total Adjusted Hours</t>
  </si>
  <si>
    <t>Adjusted Non-Billable Hours</t>
  </si>
  <si>
    <t>PER PEN</t>
  </si>
  <si>
    <t>Ground Prep Hours</t>
  </si>
  <si>
    <t>PER ACRE</t>
  </si>
  <si>
    <t>GROUND PREP</t>
  </si>
  <si>
    <t>PER HOUR</t>
  </si>
  <si>
    <t>PER HR</t>
  </si>
  <si>
    <t>Consolidated Rate Summary</t>
  </si>
  <si>
    <t>PROJECT INFORMATION</t>
  </si>
  <si>
    <t>FTE %</t>
  </si>
  <si>
    <t>Password: Jennifer</t>
  </si>
  <si>
    <t>Check figure tab</t>
  </si>
  <si>
    <t>Rate 1 as % of Adjusted Billable Hours</t>
  </si>
  <si>
    <t>Rate 2 as % of Adjusted Billable Hours</t>
  </si>
  <si>
    <t>Rate 3 as % of Adjusted Billable Hours</t>
  </si>
  <si>
    <t>Proposed Recharge Rate (Total Cost/Unit of Measurement)</t>
  </si>
  <si>
    <t>Date:</t>
  </si>
  <si>
    <t>UCD AES</t>
  </si>
  <si>
    <t>UCR AES</t>
  </si>
  <si>
    <t>UCB AES</t>
  </si>
  <si>
    <t>ANR SPECIALIST</t>
  </si>
  <si>
    <t>ANR FARM ADVISOR</t>
  </si>
  <si>
    <t>UC AFFILIATED</t>
  </si>
  <si>
    <t>USDA</t>
  </si>
  <si>
    <t>NON-UC</t>
  </si>
  <si>
    <t>OTHER</t>
  </si>
  <si>
    <t>PI/Customer Name</t>
  </si>
  <si>
    <t>PI/Customer Title (if applicable)</t>
  </si>
  <si>
    <t>PI/Customer Pays</t>
  </si>
  <si>
    <t>Net Income/(Loss)</t>
  </si>
  <si>
    <t>Income/(Loss) from previous year</t>
  </si>
  <si>
    <t>Rate 1</t>
  </si>
  <si>
    <t>Rate 2</t>
  </si>
  <si>
    <t>Rate 3</t>
  </si>
  <si>
    <t>Rate 4</t>
  </si>
  <si>
    <t>Rate 5</t>
  </si>
  <si>
    <t>Total Revenue</t>
  </si>
  <si>
    <t>Expenses</t>
  </si>
  <si>
    <t>Recharge Income</t>
  </si>
  <si>
    <t>Benefits Cost</t>
  </si>
  <si>
    <t>Depreciation Expense</t>
  </si>
  <si>
    <t>Equipment Expense</t>
  </si>
  <si>
    <t>Total Expenses</t>
  </si>
  <si>
    <t>Revenue</t>
  </si>
  <si>
    <t>ACTUAL REVENUE &amp; EXPENSES</t>
  </si>
  <si>
    <t>Rate 4 as % of Adjusted Billable Hours</t>
  </si>
  <si>
    <t>Rate 5 as % of Adjusted Billable Hours</t>
  </si>
  <si>
    <t>Rate 6 as % of Adjusted Billable Hours</t>
  </si>
  <si>
    <t xml:space="preserve">TO </t>
  </si>
  <si>
    <t>Center Funding</t>
  </si>
  <si>
    <t>Crop Income</t>
  </si>
  <si>
    <t>Other Income</t>
  </si>
  <si>
    <t>Rate 6</t>
  </si>
  <si>
    <t>Salary Cost</t>
  </si>
  <si>
    <t>Projected Sources of Recharge income</t>
  </si>
  <si>
    <t>Adjusted Recharge Rate (Total Cost + Adjustment)/Unit of Measurement</t>
  </si>
  <si>
    <t xml:space="preserve">Proposed Recharge Rate </t>
  </si>
  <si>
    <t>2022-23</t>
  </si>
  <si>
    <t>Note:</t>
  </si>
  <si>
    <t>Summary of Recharge Rates</t>
  </si>
  <si>
    <t>PI RATE</t>
  </si>
  <si>
    <t>Summary of Costs</t>
  </si>
  <si>
    <t>Variance</t>
  </si>
  <si>
    <t>Deficit/Surplus Summary</t>
  </si>
  <si>
    <t>Actual Deficit/surplus</t>
  </si>
  <si>
    <t>Deficit/surplus %</t>
  </si>
  <si>
    <t>Amount Applied to rate</t>
  </si>
  <si>
    <t>Center Notes:</t>
  </si>
  <si>
    <t>22-23</t>
  </si>
  <si>
    <t>Strategic Communications</t>
  </si>
  <si>
    <t>Intermountain REC</t>
  </si>
  <si>
    <t>Lindcove REC</t>
  </si>
  <si>
    <t>Desert REC</t>
  </si>
  <si>
    <t>Select Recharge Unit</t>
  </si>
  <si>
    <t>CSIT Web</t>
  </si>
  <si>
    <t>Facilities FPM</t>
  </si>
  <si>
    <t>CSIT Information Technology</t>
  </si>
  <si>
    <t>Hopland REC</t>
  </si>
  <si>
    <t>IGIS</t>
  </si>
  <si>
    <t>Sierra Foothill REC</t>
  </si>
  <si>
    <t>Westside REC</t>
  </si>
  <si>
    <t>South Coast REC</t>
  </si>
  <si>
    <t>Communication Services Publications Graphic Design</t>
  </si>
  <si>
    <t>Communication Services Publications Editorial</t>
  </si>
  <si>
    <t>COST and RATE CALCULATIONS</t>
  </si>
  <si>
    <t>Unit of Measure</t>
  </si>
  <si>
    <t>Allocation (Fund Down)</t>
  </si>
  <si>
    <t>#</t>
  </si>
  <si>
    <r>
      <t xml:space="preserve">Period: </t>
    </r>
    <r>
      <rPr>
        <sz val="11"/>
        <color theme="1"/>
        <rFont val="Calibri"/>
        <family val="2"/>
        <scheme val="minor"/>
      </rPr>
      <t>AS OF</t>
    </r>
  </si>
  <si>
    <t>PROJECTED BUDGET TO ACTUAL</t>
  </si>
  <si>
    <t>Total, Revenue</t>
  </si>
  <si>
    <t>Total, Personnel</t>
  </si>
  <si>
    <t>Non-Personnel</t>
  </si>
  <si>
    <t>Total, Non-Personnel</t>
  </si>
  <si>
    <t>Total, Expenses</t>
  </si>
  <si>
    <t>2023-24</t>
  </si>
  <si>
    <t>Projected Total Income</t>
  </si>
  <si>
    <t>TO</t>
  </si>
  <si>
    <t>Item Description</t>
  </si>
  <si>
    <t>UC Property No.</t>
  </si>
  <si>
    <t>Equipment Item</t>
  </si>
  <si>
    <t>Date of Purchase
(mm/dd/yy)</t>
  </si>
  <si>
    <t>Amt Charged to Recharge Center</t>
  </si>
  <si>
    <t>Salvage Value</t>
  </si>
  <si>
    <t>Percentage Recharge Usage</t>
  </si>
  <si>
    <t>Amount to be Depreciated</t>
  </si>
  <si>
    <t>Useful Life (Months)</t>
  </si>
  <si>
    <t>Number of Months Depreciated 
Prior Year(s)</t>
  </si>
  <si>
    <t>Monthly Depreciation</t>
  </si>
  <si>
    <t>Amount Depreciated</t>
  </si>
  <si>
    <t>Number of Months Depreciated 
(Current Year)</t>
  </si>
  <si>
    <t>DEPRECIATION SCHEDULE</t>
  </si>
  <si>
    <t>BUDGET TO ACTUAL</t>
  </si>
  <si>
    <t>Project Title or Description</t>
  </si>
  <si>
    <t>FULL COST CALCULATION</t>
  </si>
  <si>
    <t>Project with Federal Funds
(if applicable)</t>
  </si>
  <si>
    <t>UC Affiliation (if applicable)</t>
  </si>
  <si>
    <t>PI RECHARGE CALCULATION</t>
  </si>
  <si>
    <t>PROJECT LIST</t>
  </si>
  <si>
    <t>Rate Calculation</t>
  </si>
  <si>
    <t>Projected General Operating Costs</t>
  </si>
  <si>
    <t>SALARIES &amp; BENEFITS</t>
  </si>
  <si>
    <t>Composite Benefits Rate</t>
  </si>
  <si>
    <t>Salary Leave Assessment (%)</t>
  </si>
  <si>
    <t>Salary Leave Assessment ($)</t>
  </si>
  <si>
    <t>Total Annual Cost</t>
  </si>
  <si>
    <t>Last Name, First Name</t>
  </si>
  <si>
    <t>Title Name</t>
  </si>
  <si>
    <t>No.</t>
  </si>
  <si>
    <t>Total, Salaries &amp; Benefits</t>
  </si>
  <si>
    <t>Prorated Salary</t>
  </si>
  <si>
    <t>C=A+B</t>
  </si>
  <si>
    <t>E=C/D</t>
  </si>
  <si>
    <t>.</t>
  </si>
  <si>
    <t>C=A*B</t>
  </si>
  <si>
    <t>Ex: Holiday</t>
  </si>
  <si>
    <t>Ex: Vacation</t>
  </si>
  <si>
    <t>Ex: Sick</t>
  </si>
  <si>
    <t>PRODUCTIVE HOURS SUMMARY</t>
  </si>
  <si>
    <t>Salary &amp; Benefits</t>
  </si>
  <si>
    <t>Type of Non-Billable Hours</t>
  </si>
  <si>
    <t>Total, Personnel Cost</t>
  </si>
  <si>
    <t>Subtotal, S&amp;E</t>
  </si>
  <si>
    <t>Subtotal, Depreciation</t>
  </si>
  <si>
    <t>Subtotal, Equipment</t>
  </si>
  <si>
    <t>Total, Non-Personnel Cost</t>
  </si>
  <si>
    <t>23-24</t>
  </si>
  <si>
    <t>Explanation for Personnel Changes</t>
  </si>
  <si>
    <t>Actual (Deficit)/Surplus</t>
  </si>
  <si>
    <t>23-24 Recharge Rate</t>
  </si>
  <si>
    <t>Explanation for Non-Personnel Changes</t>
  </si>
  <si>
    <t>CHECK</t>
  </si>
  <si>
    <t>DEPRECIATION PER RATE TYPE CALCULATION</t>
  </si>
  <si>
    <t>Ex: Per Acre</t>
  </si>
  <si>
    <t>Ex: Non-Bill 1</t>
  </si>
  <si>
    <t>Ex: Non-Bill 2</t>
  </si>
  <si>
    <t>Ex: Other Type</t>
  </si>
  <si>
    <t>Ex: Other Type 1</t>
  </si>
  <si>
    <t>Ex: Other Type 2</t>
  </si>
  <si>
    <t>Ex: Ground Prep Acre</t>
  </si>
  <si>
    <t>Current Equipment</t>
  </si>
  <si>
    <t>New Equipment</t>
  </si>
  <si>
    <r>
      <rPr>
        <b/>
        <sz val="11"/>
        <rFont val="Calibri"/>
        <family val="2"/>
        <scheme val="minor"/>
      </rPr>
      <t>SELECT:</t>
    </r>
    <r>
      <rPr>
        <sz val="11"/>
        <rFont val="Calibri"/>
        <family val="2"/>
        <scheme val="minor"/>
      </rPr>
      <t xml:space="preserve">
Current or New Equipment</t>
    </r>
  </si>
  <si>
    <r>
      <t xml:space="preserve">Contract Employee Type 
</t>
    </r>
    <r>
      <rPr>
        <i/>
        <sz val="11"/>
        <color theme="1"/>
        <rFont val="Calibri"/>
        <family val="2"/>
        <scheme val="minor"/>
      </rPr>
      <t>(Optional)</t>
    </r>
  </si>
  <si>
    <t>INPUT % TO APPLY PER RATE TYPE</t>
  </si>
  <si>
    <t>Unit Not Listed in Dropdown? Add Here!</t>
  </si>
  <si>
    <t>Hansen REC</t>
  </si>
  <si>
    <t>Kearney REC</t>
  </si>
  <si>
    <t xml:space="preserve">Instructions: </t>
  </si>
  <si>
    <t>News and Information Outreach in Spanish</t>
  </si>
  <si>
    <r>
      <rPr>
        <b/>
        <sz val="11"/>
        <color theme="1"/>
        <rFont val="Calibri"/>
        <family val="2"/>
        <scheme val="minor"/>
      </rPr>
      <t>March 20, 2023:</t>
    </r>
    <r>
      <rPr>
        <sz val="11"/>
        <color theme="1"/>
        <rFont val="Calibri"/>
        <family val="2"/>
        <scheme val="minor"/>
      </rPr>
      <t xml:space="preserve"> Added News and Information Outreach in Spanish to Summary page dropdown menu.</t>
    </r>
  </si>
  <si>
    <t>REVISION HISTORY</t>
  </si>
  <si>
    <t>2nd Street Building</t>
  </si>
  <si>
    <t>Design</t>
  </si>
  <si>
    <t>Editorial</t>
  </si>
  <si>
    <t>Other Revenue Type</t>
  </si>
  <si>
    <t>Other Expense Type</t>
  </si>
  <si>
    <t>Other Non-Personnel Expense</t>
  </si>
  <si>
    <t>FY 2024-25</t>
  </si>
  <si>
    <t>24-25 Recharge Rate</t>
  </si>
  <si>
    <t>24-25</t>
  </si>
  <si>
    <t>Adjustment from previous year operations: deduct surplus or add deficit</t>
  </si>
  <si>
    <t>2024-25</t>
  </si>
  <si>
    <t xml:space="preserve">User to input data into peach colored cells. </t>
  </si>
  <si>
    <t>FY 2023-24</t>
  </si>
  <si>
    <t>TOTAL PROJECTED REVENUE AND EXPENSES</t>
  </si>
  <si>
    <t>INPUT REVENUE AND EXPENSES ACTUALS TO DATE</t>
  </si>
  <si>
    <t>INPUT REVENUE AND EXPENSES PROJECTIONS TO YEAR-END</t>
  </si>
  <si>
    <t>Need Help? Click for Instructions and Video Demonstration</t>
  </si>
  <si>
    <t>NOTES</t>
  </si>
  <si>
    <r>
      <rPr>
        <b/>
        <i/>
        <sz val="11"/>
        <color rgb="FFFF0000"/>
        <rFont val="Calibri"/>
        <family val="2"/>
        <scheme val="minor"/>
      </rPr>
      <t>Issues?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Please contact your business manager or angela.chuck@ucop.edu in Resource Planning &amp; Management.</t>
    </r>
  </si>
  <si>
    <t>All other cells are formula driven or references to user inputs in other places in this workbook.</t>
  </si>
  <si>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as of:</t>
    </r>
  </si>
  <si>
    <r>
      <t xml:space="preserve">Projected </t>
    </r>
    <r>
      <rPr>
        <sz val="11"/>
        <color theme="1"/>
        <rFont val="Calibri"/>
        <family val="2"/>
        <scheme val="minor"/>
      </rPr>
      <t>for:</t>
    </r>
  </si>
  <si>
    <t>Ex: Direct Research</t>
  </si>
  <si>
    <t>INPUT EFFORT HOURS PER RATE BELOW</t>
  </si>
  <si>
    <t>D=C-E</t>
  </si>
  <si>
    <t>E</t>
  </si>
  <si>
    <t>INPUT NON-BILLABLE HOURS</t>
  </si>
  <si>
    <t>ENTER INFORMATION ON EQUIPMENT TO BE DEPRECIATED IN THE SCHEDULE BELOW</t>
  </si>
  <si>
    <t>INPUT INDIVIDUAL EMPLOYEE SALARY AND BENEFIT INFORMATION FOR EMPLOYEES PAID ON THE RECHARGE RATE BELOW</t>
  </si>
  <si>
    <t>INPUT % TO BE CHARGED TO PI</t>
  </si>
  <si>
    <t>Pay Frequency</t>
  </si>
  <si>
    <t>Monthly</t>
  </si>
  <si>
    <t>Prorated FTE</t>
  </si>
  <si>
    <t>Pay Rate</t>
  </si>
  <si>
    <t>Projections to Actuals Analysis</t>
  </si>
  <si>
    <t>Select Comparison &gt;</t>
  </si>
  <si>
    <t>% Var</t>
  </si>
  <si>
    <t>To complete, please refer to your unit's prior year rate submission paperwork for Projected B2A.</t>
  </si>
  <si>
    <t>FY 2025-26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</si>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</sst>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%"/>
    <numFmt numFmtId="168" formatCode="0.0"/>
    <numFmt numFmtId="169" formatCode="&quot;$&quot;#,##0.00"/>
    <numFmt numFmtId="170" formatCode="m/d/yyyy;@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Geneva"/>
    </font>
    <font>
      <sz val="10"/>
      <name val="Arial"/>
      <family val="2"/>
    </font>
    <font>
      <u/>
      <sz val="10"/>
      <color theme="10"/>
      <name val="Geneva"/>
    </font>
    <font>
      <b/>
      <u/>
      <sz val="12"/>
      <color theme="10"/>
      <name val="Geneva"/>
    </font>
    <font>
      <sz val="10"/>
      <color indexed="10"/>
      <name val="Arial"/>
      <family val="2"/>
    </font>
    <font>
      <b/>
      <sz val="18"/>
      <name val="Geneva"/>
      <family val="2"/>
    </font>
    <font>
      <b/>
      <sz val="18"/>
      <name val="Geneva"/>
    </font>
    <font>
      <b/>
      <sz val="14"/>
      <name val="Geneva"/>
    </font>
    <font>
      <b/>
      <sz val="12"/>
      <name val="Geneva"/>
    </font>
    <font>
      <b/>
      <sz val="10"/>
      <name val="Geneva"/>
    </font>
    <font>
      <b/>
      <i/>
      <u/>
      <sz val="10"/>
      <name val="Geneva"/>
    </font>
    <font>
      <sz val="10"/>
      <name val="Geneva"/>
      <family val="2"/>
    </font>
    <font>
      <b/>
      <i/>
      <sz val="10"/>
      <name val="Geneva"/>
    </font>
    <font>
      <i/>
      <sz val="7"/>
      <name val="Geneva"/>
    </font>
    <font>
      <i/>
      <sz val="10"/>
      <name val="Geneva"/>
    </font>
    <font>
      <sz val="10"/>
      <color indexed="30"/>
      <name val="Geneva"/>
    </font>
    <font>
      <vertAlign val="superscript"/>
      <sz val="9"/>
      <name val="Arial"/>
      <family val="2"/>
    </font>
    <font>
      <sz val="9"/>
      <color indexed="9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12" fillId="0" borderId="0"/>
    <xf numFmtId="0" fontId="11" fillId="0" borderId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5" borderId="0" applyNumberFormat="0" applyBorder="0" applyAlignment="0" applyProtection="0"/>
    <xf numFmtId="0" fontId="35" fillId="19" borderId="0" applyNumberFormat="0" applyBorder="0" applyAlignment="0" applyProtection="0"/>
    <xf numFmtId="0" fontId="36" fillId="36" borderId="15" applyNumberFormat="0" applyAlignment="0" applyProtection="0"/>
    <xf numFmtId="0" fontId="37" fillId="37" borderId="16" applyNumberFormat="0" applyAlignment="0" applyProtection="0"/>
    <xf numFmtId="4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4" fontId="22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20" borderId="0" applyNumberFormat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23" borderId="15" applyNumberFormat="0" applyAlignment="0" applyProtection="0"/>
    <xf numFmtId="0" fontId="44" fillId="0" borderId="20" applyNumberFormat="0" applyFill="0" applyAlignment="0" applyProtection="0"/>
    <xf numFmtId="0" fontId="45" fillId="38" borderId="0" applyNumberFormat="0" applyBorder="0" applyAlignment="0" applyProtection="0"/>
    <xf numFmtId="0" fontId="12" fillId="39" borderId="21" applyNumberFormat="0" applyFont="0" applyAlignment="0" applyProtection="0"/>
    <xf numFmtId="0" fontId="46" fillId="36" borderId="22" applyNumberFormat="0" applyAlignment="0" applyProtection="0"/>
    <xf numFmtId="9" fontId="1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0" borderId="0" applyNumberFormat="0" applyFill="0" applyBorder="0" applyAlignment="0" applyProtection="0"/>
    <xf numFmtId="0" fontId="12" fillId="39" borderId="21" applyNumberFormat="0" applyFont="0" applyAlignment="0" applyProtection="0"/>
    <xf numFmtId="0" fontId="12" fillId="0" borderId="0"/>
    <xf numFmtId="0" fontId="43" fillId="23" borderId="24" applyNumberFormat="0" applyAlignment="0" applyProtection="0"/>
    <xf numFmtId="4" fontId="11" fillId="0" borderId="0" applyFont="0" applyFill="0" applyBorder="0" applyAlignment="0" applyProtection="0"/>
    <xf numFmtId="0" fontId="36" fillId="36" borderId="24" applyNumberFormat="0" applyAlignment="0" applyProtection="0"/>
    <xf numFmtId="4" fontId="11" fillId="0" borderId="0" applyFont="0" applyFill="0" applyBorder="0" applyAlignment="0" applyProtection="0"/>
    <xf numFmtId="0" fontId="36" fillId="36" borderId="28" applyNumberFormat="0" applyAlignment="0" applyProtection="0"/>
    <xf numFmtId="4" fontId="11" fillId="0" borderId="0" applyFont="0" applyFill="0" applyBorder="0" applyAlignment="0" applyProtection="0"/>
    <xf numFmtId="0" fontId="12" fillId="39" borderId="25" applyNumberFormat="0" applyFont="0" applyAlignment="0" applyProtection="0"/>
    <xf numFmtId="0" fontId="46" fillId="36" borderId="26" applyNumberFormat="0" applyAlignment="0" applyProtection="0"/>
    <xf numFmtId="0" fontId="48" fillId="0" borderId="27" applyNumberFormat="0" applyFill="0" applyAlignment="0" applyProtection="0"/>
    <xf numFmtId="0" fontId="12" fillId="39" borderId="25" applyNumberFormat="0" applyFont="0" applyAlignment="0" applyProtection="0"/>
    <xf numFmtId="0" fontId="43" fillId="23" borderId="28" applyNumberFormat="0" applyAlignment="0" applyProtection="0"/>
    <xf numFmtId="0" fontId="57" fillId="42" borderId="0" applyNumberFormat="0" applyBorder="0" applyAlignment="0" applyProtection="0"/>
  </cellStyleXfs>
  <cellXfs count="698">
    <xf numFmtId="0" fontId="0" fillId="0" borderId="0" xfId="0"/>
    <xf numFmtId="43" fontId="0" fillId="0" borderId="0" xfId="1" applyFont="1" applyBorder="1"/>
    <xf numFmtId="164" fontId="0" fillId="0" borderId="0" xfId="1" applyNumberFormat="1" applyFont="1" applyBorder="1"/>
    <xf numFmtId="9" fontId="0" fillId="0" borderId="0" xfId="2" applyFont="1"/>
    <xf numFmtId="43" fontId="0" fillId="0" borderId="0" xfId="1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3" fontId="0" fillId="0" borderId="0" xfId="0" applyNumberFormat="1"/>
    <xf numFmtId="17" fontId="0" fillId="0" borderId="0" xfId="0" applyNumberFormat="1"/>
    <xf numFmtId="0" fontId="2" fillId="0" borderId="0" xfId="0" applyFont="1"/>
    <xf numFmtId="3" fontId="2" fillId="0" borderId="0" xfId="0" applyNumberFormat="1" applyFont="1"/>
    <xf numFmtId="164" fontId="0" fillId="0" borderId="0" xfId="1" applyNumberFormat="1" applyFont="1" applyFill="1" applyBorder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2" fontId="0" fillId="0" borderId="0" xfId="0" applyNumberFormat="1"/>
    <xf numFmtId="9" fontId="0" fillId="0" borderId="0" xfId="2" applyFont="1" applyBorder="1"/>
    <xf numFmtId="0" fontId="2" fillId="2" borderId="4" xfId="0" applyFont="1" applyFill="1" applyBorder="1"/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left"/>
    </xf>
    <xf numFmtId="164" fontId="2" fillId="2" borderId="5" xfId="0" applyNumberFormat="1" applyFont="1" applyFill="1" applyBorder="1"/>
    <xf numFmtId="43" fontId="2" fillId="2" borderId="4" xfId="1" applyFont="1" applyFill="1" applyBorder="1"/>
    <xf numFmtId="43" fontId="0" fillId="0" borderId="0" xfId="1" applyFont="1" applyFill="1"/>
    <xf numFmtId="43" fontId="2" fillId="2" borderId="5" xfId="1" applyFont="1" applyFill="1" applyBorder="1"/>
    <xf numFmtId="3" fontId="0" fillId="0" borderId="1" xfId="0" applyNumberFormat="1" applyBorder="1"/>
    <xf numFmtId="44" fontId="0" fillId="0" borderId="3" xfId="3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164" fontId="0" fillId="0" borderId="3" xfId="1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164" fontId="2" fillId="0" borderId="3" xfId="1" applyNumberFormat="1" applyFont="1" applyFill="1" applyBorder="1"/>
    <xf numFmtId="3" fontId="2" fillId="0" borderId="1" xfId="0" applyNumberFormat="1" applyFont="1" applyBorder="1"/>
    <xf numFmtId="44" fontId="2" fillId="0" borderId="3" xfId="3" applyFont="1" applyFill="1" applyBorder="1"/>
    <xf numFmtId="0" fontId="9" fillId="0" borderId="0" xfId="0" applyFont="1"/>
    <xf numFmtId="0" fontId="7" fillId="0" borderId="0" xfId="0" applyFont="1" applyAlignment="1">
      <alignment horizontal="left"/>
    </xf>
    <xf numFmtId="0" fontId="12" fillId="0" borderId="0" xfId="0" applyFont="1"/>
    <xf numFmtId="2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5" applyFont="1"/>
    <xf numFmtId="0" fontId="7" fillId="0" borderId="0" xfId="0" applyFont="1" applyAlignment="1">
      <alignment horizontal="center" wrapText="1" readingOrder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2" fillId="9" borderId="11" xfId="0" applyFont="1" applyFill="1" applyBorder="1" applyAlignment="1">
      <alignment horizontal="center"/>
    </xf>
    <xf numFmtId="43" fontId="12" fillId="9" borderId="11" xfId="1" applyFont="1" applyFill="1" applyBorder="1" applyAlignment="1">
      <alignment horizontal="left" indent="1"/>
    </xf>
    <xf numFmtId="37" fontId="10" fillId="9" borderId="11" xfId="0" applyNumberFormat="1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43" fontId="12" fillId="9" borderId="12" xfId="1" applyFont="1" applyFill="1" applyBorder="1" applyAlignment="1">
      <alignment horizontal="left" indent="1"/>
    </xf>
    <xf numFmtId="165" fontId="12" fillId="9" borderId="12" xfId="1" applyNumberFormat="1" applyFont="1" applyFill="1" applyBorder="1" applyAlignment="1"/>
    <xf numFmtId="37" fontId="12" fillId="9" borderId="12" xfId="1" applyNumberFormat="1" applyFont="1" applyFill="1" applyBorder="1" applyAlignment="1"/>
    <xf numFmtId="37" fontId="15" fillId="9" borderId="12" xfId="1" applyNumberFormat="1" applyFont="1" applyFill="1" applyBorder="1" applyAlignment="1"/>
    <xf numFmtId="165" fontId="15" fillId="0" borderId="0" xfId="1" applyNumberFormat="1" applyFont="1" applyAlignment="1"/>
    <xf numFmtId="0" fontId="10" fillId="0" borderId="1" xfId="0" applyFont="1" applyBorder="1"/>
    <xf numFmtId="0" fontId="10" fillId="0" borderId="13" xfId="0" applyFont="1" applyBorder="1"/>
    <xf numFmtId="165" fontId="10" fillId="7" borderId="2" xfId="1" applyNumberFormat="1" applyFont="1" applyFill="1" applyBorder="1" applyAlignment="1"/>
    <xf numFmtId="0" fontId="10" fillId="0" borderId="0" xfId="0" applyFont="1"/>
    <xf numFmtId="165" fontId="12" fillId="0" borderId="0" xfId="1" applyNumberFormat="1" applyFont="1" applyAlignment="1"/>
    <xf numFmtId="165" fontId="11" fillId="10" borderId="3" xfId="0" applyNumberFormat="1" applyFont="1" applyFill="1" applyBorder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Continuous"/>
    </xf>
    <xf numFmtId="3" fontId="9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left" vertical="center"/>
    </xf>
    <xf numFmtId="3" fontId="9" fillId="0" borderId="0" xfId="0" applyNumberFormat="1" applyFont="1"/>
    <xf numFmtId="2" fontId="18" fillId="11" borderId="0" xfId="0" applyNumberFormat="1" applyFont="1" applyFill="1" applyAlignment="1">
      <alignment horizontal="left" vertical="center"/>
    </xf>
    <xf numFmtId="0" fontId="9" fillId="11" borderId="0" xfId="0" applyFont="1" applyFill="1" applyAlignment="1">
      <alignment horizontal="centerContinuous"/>
    </xf>
    <xf numFmtId="3" fontId="9" fillId="11" borderId="0" xfId="0" applyNumberFormat="1" applyFont="1" applyFill="1" applyAlignment="1">
      <alignment horizontal="centerContinuous"/>
    </xf>
    <xf numFmtId="0" fontId="0" fillId="11" borderId="0" xfId="0" applyFill="1" applyAlignment="1">
      <alignment horizontal="centerContinuous"/>
    </xf>
    <xf numFmtId="0" fontId="19" fillId="12" borderId="0" xfId="0" applyFont="1" applyFill="1" applyAlignment="1">
      <alignment horizontal="left" vertical="center"/>
    </xf>
    <xf numFmtId="0" fontId="8" fillId="12" borderId="0" xfId="0" applyFont="1" applyFill="1" applyAlignment="1">
      <alignment horizontal="centerContinuous"/>
    </xf>
    <xf numFmtId="3" fontId="8" fillId="12" borderId="0" xfId="0" applyNumberFormat="1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41" fontId="11" fillId="0" borderId="0" xfId="4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horizontal="center"/>
    </xf>
    <xf numFmtId="41" fontId="11" fillId="5" borderId="6" xfId="4" applyFont="1" applyFill="1" applyBorder="1" applyAlignment="1">
      <alignment horizontal="center"/>
    </xf>
    <xf numFmtId="40" fontId="11" fillId="0" borderId="0" xfId="0" applyNumberFormat="1" applyFont="1" applyAlignment="1">
      <alignment horizontal="center"/>
    </xf>
    <xf numFmtId="9" fontId="11" fillId="5" borderId="6" xfId="2" applyFont="1" applyFill="1" applyBorder="1" applyAlignment="1"/>
    <xf numFmtId="165" fontId="11" fillId="5" borderId="6" xfId="0" applyNumberFormat="1" applyFont="1" applyFill="1" applyBorder="1" applyAlignment="1">
      <alignment horizontal="center"/>
    </xf>
    <xf numFmtId="40" fontId="11" fillId="0" borderId="0" xfId="0" applyNumberFormat="1" applyFont="1" applyAlignment="1">
      <alignment horizontal="left"/>
    </xf>
    <xf numFmtId="167" fontId="11" fillId="5" borderId="3" xfId="0" applyNumberFormat="1" applyFont="1" applyFill="1" applyBorder="1"/>
    <xf numFmtId="165" fontId="0" fillId="10" borderId="3" xfId="0" applyNumberFormat="1" applyFill="1" applyBorder="1"/>
    <xf numFmtId="165" fontId="11" fillId="0" borderId="0" xfId="0" applyNumberFormat="1" applyFont="1"/>
    <xf numFmtId="10" fontId="11" fillId="8" borderId="3" xfId="2" applyNumberFormat="1" applyFont="1" applyFill="1" applyBorder="1"/>
    <xf numFmtId="0" fontId="20" fillId="0" borderId="0" xfId="0" applyFont="1" applyAlignment="1">
      <alignment horizontal="left" vertical="center" wrapText="1"/>
    </xf>
    <xf numFmtId="165" fontId="0" fillId="5" borderId="6" xfId="0" applyNumberForma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9" fontId="11" fillId="0" borderId="0" xfId="2" applyFont="1" applyBorder="1" applyAlignment="1"/>
    <xf numFmtId="38" fontId="11" fillId="0" borderId="0" xfId="0" applyNumberFormat="1" applyFont="1" applyAlignment="1">
      <alignment horizontal="center"/>
    </xf>
    <xf numFmtId="167" fontId="11" fillId="0" borderId="0" xfId="0" applyNumberFormat="1" applyFont="1"/>
    <xf numFmtId="166" fontId="11" fillId="0" borderId="0" xfId="0" applyNumberFormat="1" applyFont="1"/>
    <xf numFmtId="0" fontId="0" fillId="0" borderId="0" xfId="0" applyAlignment="1">
      <alignment horizontal="left" vertical="center"/>
    </xf>
    <xf numFmtId="165" fontId="0" fillId="10" borderId="3" xfId="3" applyNumberFormat="1" applyFont="1" applyFill="1" applyBorder="1"/>
    <xf numFmtId="41" fontId="11" fillId="0" borderId="0" xfId="4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3" fontId="11" fillId="0" borderId="0" xfId="1" applyFont="1" applyAlignment="1">
      <alignment vertical="center"/>
    </xf>
    <xf numFmtId="165" fontId="11" fillId="5" borderId="6" xfId="3" applyNumberFormat="1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165" fontId="11" fillId="5" borderId="6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165" fontId="11" fillId="10" borderId="3" xfId="3" applyNumberFormat="1" applyFont="1" applyFill="1" applyBorder="1" applyAlignment="1"/>
    <xf numFmtId="43" fontId="11" fillId="13" borderId="6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left"/>
    </xf>
    <xf numFmtId="38" fontId="11" fillId="10" borderId="3" xfId="0" applyNumberFormat="1" applyFont="1" applyFill="1" applyBorder="1"/>
    <xf numFmtId="38" fontId="0" fillId="10" borderId="3" xfId="0" applyNumberFormat="1" applyFill="1" applyBorder="1"/>
    <xf numFmtId="4" fontId="11" fillId="0" borderId="0" xfId="0" applyNumberFormat="1" applyFont="1" applyAlignment="1">
      <alignment horizontal="left"/>
    </xf>
    <xf numFmtId="4" fontId="11" fillId="0" borderId="0" xfId="0" applyNumberFormat="1" applyFont="1"/>
    <xf numFmtId="3" fontId="11" fillId="0" borderId="0" xfId="0" applyNumberFormat="1" applyFont="1"/>
    <xf numFmtId="38" fontId="0" fillId="0" borderId="0" xfId="0" applyNumberFormat="1"/>
    <xf numFmtId="0" fontId="22" fillId="14" borderId="0" xfId="0" applyFont="1" applyFill="1"/>
    <xf numFmtId="4" fontId="11" fillId="14" borderId="0" xfId="0" applyNumberFormat="1" applyFont="1" applyFill="1" applyAlignment="1">
      <alignment horizontal="center"/>
    </xf>
    <xf numFmtId="0" fontId="0" fillId="14" borderId="0" xfId="0" applyFill="1"/>
    <xf numFmtId="0" fontId="11" fillId="14" borderId="0" xfId="0" applyFont="1" applyFill="1"/>
    <xf numFmtId="37" fontId="11" fillId="10" borderId="6" xfId="1" applyNumberFormat="1" applyFont="1" applyFill="1" applyBorder="1"/>
    <xf numFmtId="0" fontId="24" fillId="0" borderId="0" xfId="0" applyFont="1"/>
    <xf numFmtId="37" fontId="11" fillId="0" borderId="6" xfId="0" applyNumberFormat="1" applyFont="1" applyBorder="1"/>
    <xf numFmtId="4" fontId="25" fillId="0" borderId="0" xfId="0" applyNumberFormat="1" applyFont="1" applyAlignment="1">
      <alignment horizontal="center"/>
    </xf>
    <xf numFmtId="44" fontId="0" fillId="0" borderId="0" xfId="3" applyFont="1" applyBorder="1" applyAlignment="1"/>
    <xf numFmtId="37" fontId="11" fillId="10" borderId="3" xfId="1" applyNumberFormat="1" applyFont="1" applyFill="1" applyBorder="1"/>
    <xf numFmtId="41" fontId="11" fillId="0" borderId="0" xfId="4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10" borderId="3" xfId="3" applyNumberFormat="1" applyFont="1" applyFill="1" applyBorder="1" applyAlignment="1"/>
    <xf numFmtId="0" fontId="20" fillId="0" borderId="0" xfId="0" applyFont="1" applyAlignment="1">
      <alignment horizontal="right"/>
    </xf>
    <xf numFmtId="4" fontId="20" fillId="0" borderId="0" xfId="0" applyNumberFormat="1" applyFont="1" applyAlignment="1">
      <alignment horizontal="center"/>
    </xf>
    <xf numFmtId="7" fontId="11" fillId="0" borderId="0" xfId="0" applyNumberFormat="1" applyFont="1" applyAlignment="1">
      <alignment horizontal="center"/>
    </xf>
    <xf numFmtId="43" fontId="11" fillId="0" borderId="0" xfId="1" applyFont="1" applyBorder="1"/>
    <xf numFmtId="165" fontId="11" fillId="0" borderId="0" xfId="3" applyNumberFormat="1" applyFont="1" applyBorder="1" applyAlignment="1"/>
    <xf numFmtId="3" fontId="20" fillId="0" borderId="0" xfId="0" applyNumberFormat="1" applyFont="1"/>
    <xf numFmtId="44" fontId="20" fillId="10" borderId="3" xfId="0" applyNumberFormat="1" applyFont="1" applyFill="1" applyBorder="1"/>
    <xf numFmtId="43" fontId="20" fillId="0" borderId="0" xfId="1" applyFont="1"/>
    <xf numFmtId="0" fontId="0" fillId="10" borderId="0" xfId="0" applyFill="1" applyAlignment="1">
      <alignment horizontal="left" vertical="center"/>
    </xf>
    <xf numFmtId="0" fontId="0" fillId="10" borderId="0" xfId="0" applyFill="1"/>
    <xf numFmtId="0" fontId="0" fillId="5" borderId="0" xfId="0" applyFill="1" applyAlignment="1">
      <alignment horizontal="left" vertical="center"/>
    </xf>
    <xf numFmtId="0" fontId="0" fillId="5" borderId="0" xfId="0" applyFill="1"/>
    <xf numFmtId="0" fontId="22" fillId="0" borderId="0" xfId="0" quotePrefix="1" applyFont="1" applyAlignment="1">
      <alignment horizontal="left" vertical="center"/>
    </xf>
    <xf numFmtId="0" fontId="7" fillId="0" borderId="0" xfId="0" applyFont="1"/>
    <xf numFmtId="0" fontId="9" fillId="11" borderId="0" xfId="0" applyFont="1" applyFill="1" applyAlignment="1" applyProtection="1">
      <alignment horizontal="centerContinuous"/>
      <protection locked="0"/>
    </xf>
    <xf numFmtId="0" fontId="9" fillId="0" borderId="0" xfId="0" quotePrefix="1" applyFont="1" applyAlignment="1">
      <alignment horizontal="right"/>
    </xf>
    <xf numFmtId="0" fontId="9" fillId="0" borderId="0" xfId="0" applyFont="1" applyProtection="1">
      <protection locked="0"/>
    </xf>
    <xf numFmtId="0" fontId="14" fillId="0" borderId="0" xfId="5" applyFont="1" applyBorder="1"/>
    <xf numFmtId="0" fontId="19" fillId="12" borderId="0" xfId="0" applyFont="1" applyFill="1" applyAlignment="1" applyProtection="1">
      <alignment horizontal="left"/>
      <protection locked="0"/>
    </xf>
    <xf numFmtId="0" fontId="11" fillId="12" borderId="0" xfId="0" applyFont="1" applyFill="1" applyProtection="1">
      <protection locked="0"/>
    </xf>
    <xf numFmtId="0" fontId="20" fillId="12" borderId="0" xfId="0" applyFont="1" applyFill="1" applyAlignment="1" applyProtection="1">
      <alignment horizontal="center"/>
      <protection locked="0"/>
    </xf>
    <xf numFmtId="0" fontId="23" fillId="12" borderId="0" xfId="0" applyFont="1" applyFill="1" applyAlignment="1" applyProtection="1">
      <alignment horizontal="centerContinuous"/>
      <protection locked="0"/>
    </xf>
    <xf numFmtId="0" fontId="11" fillId="12" borderId="0" xfId="0" applyFont="1" applyFill="1" applyAlignment="1" applyProtection="1">
      <alignment horizontal="centerContinuous"/>
      <protection locked="0"/>
    </xf>
    <xf numFmtId="0" fontId="20" fillId="12" borderId="0" xfId="0" applyFont="1" applyFill="1" applyAlignment="1" applyProtection="1">
      <alignment horizontal="centerContinuous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37" fontId="26" fillId="6" borderId="6" xfId="1" applyNumberFormat="1" applyFont="1" applyFill="1" applyBorder="1" applyProtection="1">
      <protection locked="0"/>
    </xf>
    <xf numFmtId="37" fontId="26" fillId="0" borderId="0" xfId="1" applyNumberFormat="1" applyFont="1" applyProtection="1">
      <protection locked="0"/>
    </xf>
    <xf numFmtId="37" fontId="26" fillId="5" borderId="6" xfId="1" applyNumberFormat="1" applyFont="1" applyFill="1" applyBorder="1" applyAlignment="1" applyProtection="1">
      <protection locked="0"/>
    </xf>
    <xf numFmtId="0" fontId="27" fillId="0" borderId="0" xfId="0" quotePrefix="1" applyFont="1" applyProtection="1">
      <protection locked="0"/>
    </xf>
    <xf numFmtId="37" fontId="26" fillId="5" borderId="13" xfId="1" applyNumberFormat="1" applyFont="1" applyFill="1" applyBorder="1" applyProtection="1">
      <protection locked="0"/>
    </xf>
    <xf numFmtId="37" fontId="26" fillId="5" borderId="13" xfId="1" applyNumberFormat="1" applyFont="1" applyFill="1" applyBorder="1" applyAlignment="1" applyProtection="1">
      <protection locked="0"/>
    </xf>
    <xf numFmtId="37" fontId="11" fillId="5" borderId="13" xfId="1" applyNumberFormat="1" applyFont="1" applyFill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37" fontId="11" fillId="0" borderId="0" xfId="1" applyNumberFormat="1" applyFont="1" applyFill="1" applyBorder="1" applyProtection="1">
      <protection locked="0"/>
    </xf>
    <xf numFmtId="37" fontId="11" fillId="0" borderId="0" xfId="1" applyNumberFormat="1" applyFont="1" applyProtection="1">
      <protection locked="0"/>
    </xf>
    <xf numFmtId="0" fontId="23" fillId="0" borderId="0" xfId="0" applyFont="1" applyProtection="1">
      <protection locked="0"/>
    </xf>
    <xf numFmtId="37" fontId="11" fillId="7" borderId="3" xfId="1" applyNumberFormat="1" applyFont="1" applyFill="1" applyBorder="1" applyProtection="1">
      <protection locked="0"/>
    </xf>
    <xf numFmtId="37" fontId="11" fillId="5" borderId="6" xfId="1" applyNumberFormat="1" applyFont="1" applyFill="1" applyBorder="1" applyProtection="1">
      <protection locked="0"/>
    </xf>
    <xf numFmtId="0" fontId="20" fillId="0" borderId="0" xfId="0" applyFont="1" applyProtection="1">
      <protection locked="0"/>
    </xf>
    <xf numFmtId="37" fontId="11" fillId="7" borderId="3" xfId="1" applyNumberFormat="1" applyFont="1" applyFill="1" applyBorder="1" applyAlignment="1" applyProtection="1">
      <protection locked="0"/>
    </xf>
    <xf numFmtId="0" fontId="11" fillId="5" borderId="0" xfId="0" applyFont="1" applyFill="1" applyProtection="1">
      <protection locked="0"/>
    </xf>
    <xf numFmtId="0" fontId="11" fillId="7" borderId="0" xfId="0" applyFont="1" applyFill="1" applyProtection="1">
      <protection locked="0"/>
    </xf>
    <xf numFmtId="0" fontId="28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10" fontId="9" fillId="0" borderId="0" xfId="2" applyNumberFormat="1" applyFont="1"/>
    <xf numFmtId="43" fontId="9" fillId="0" borderId="0" xfId="1" applyFont="1"/>
    <xf numFmtId="164" fontId="9" fillId="0" borderId="0" xfId="1" applyNumberFormat="1" applyFont="1"/>
    <xf numFmtId="0" fontId="2" fillId="13" borderId="0" xfId="0" applyFont="1" applyFill="1"/>
    <xf numFmtId="0" fontId="31" fillId="0" borderId="0" xfId="8"/>
    <xf numFmtId="0" fontId="10" fillId="0" borderId="0" xfId="8" applyFont="1"/>
    <xf numFmtId="0" fontId="12" fillId="0" borderId="0" xfId="8" applyFont="1"/>
    <xf numFmtId="0" fontId="10" fillId="0" borderId="0" xfId="8" applyFont="1" applyAlignment="1">
      <alignment horizontal="center"/>
    </xf>
    <xf numFmtId="0" fontId="31" fillId="0" borderId="0" xfId="8" applyAlignment="1">
      <alignment horizontal="center"/>
    </xf>
    <xf numFmtId="0" fontId="31" fillId="0" borderId="7" xfId="8" applyBorder="1"/>
    <xf numFmtId="8" fontId="31" fillId="0" borderId="0" xfId="8" applyNumberFormat="1"/>
    <xf numFmtId="8" fontId="10" fillId="0" borderId="0" xfId="8" applyNumberFormat="1" applyFont="1"/>
    <xf numFmtId="0" fontId="12" fillId="0" borderId="0" xfId="8" applyFont="1" applyAlignment="1">
      <alignment horizontal="left"/>
    </xf>
    <xf numFmtId="0" fontId="10" fillId="0" borderId="1" xfId="8" applyFont="1" applyBorder="1" applyAlignment="1">
      <alignment horizontal="left"/>
    </xf>
    <xf numFmtId="0" fontId="31" fillId="0" borderId="13" xfId="8" applyBorder="1"/>
    <xf numFmtId="0" fontId="10" fillId="0" borderId="13" xfId="8" applyFont="1" applyBorder="1" applyAlignment="1">
      <alignment horizontal="left" indent="3"/>
    </xf>
    <xf numFmtId="0" fontId="31" fillId="0" borderId="2" xfId="8" applyBorder="1"/>
    <xf numFmtId="0" fontId="12" fillId="0" borderId="8" xfId="8" applyFont="1" applyBorder="1" applyAlignment="1">
      <alignment horizontal="center" wrapText="1"/>
    </xf>
    <xf numFmtId="0" fontId="10" fillId="0" borderId="7" xfId="8" applyFont="1" applyBorder="1"/>
    <xf numFmtId="0" fontId="31" fillId="0" borderId="8" xfId="8" applyBorder="1"/>
    <xf numFmtId="0" fontId="31" fillId="0" borderId="7" xfId="8" applyBorder="1" applyAlignment="1">
      <alignment horizontal="left" indent="4"/>
    </xf>
    <xf numFmtId="0" fontId="31" fillId="0" borderId="1" xfId="8" applyBorder="1"/>
    <xf numFmtId="0" fontId="31" fillId="0" borderId="13" xfId="8" applyBorder="1" applyAlignment="1">
      <alignment horizontal="center"/>
    </xf>
    <xf numFmtId="0" fontId="10" fillId="0" borderId="13" xfId="8" applyFont="1" applyBorder="1"/>
    <xf numFmtId="0" fontId="10" fillId="0" borderId="2" xfId="8" applyFont="1" applyBorder="1"/>
    <xf numFmtId="0" fontId="10" fillId="0" borderId="1" xfId="8" applyFont="1" applyBorder="1"/>
    <xf numFmtId="0" fontId="12" fillId="0" borderId="7" xfId="8" applyFont="1" applyBorder="1"/>
    <xf numFmtId="0" fontId="12" fillId="0" borderId="7" xfId="8" applyFont="1" applyBorder="1" applyAlignment="1">
      <alignment horizontal="left" indent="5"/>
    </xf>
    <xf numFmtId="0" fontId="12" fillId="0" borderId="7" xfId="8" applyFont="1" applyBorder="1" applyAlignment="1">
      <alignment horizontal="left"/>
    </xf>
    <xf numFmtId="0" fontId="12" fillId="0" borderId="7" xfId="8" applyFont="1" applyBorder="1" applyAlignment="1">
      <alignment horizontal="left" indent="6"/>
    </xf>
    <xf numFmtId="0" fontId="12" fillId="0" borderId="9" xfId="8" applyFont="1" applyBorder="1"/>
    <xf numFmtId="0" fontId="31" fillId="0" borderId="6" xfId="8" applyBorder="1"/>
    <xf numFmtId="0" fontId="12" fillId="0" borderId="1" xfId="8" applyFont="1" applyBorder="1"/>
    <xf numFmtId="0" fontId="12" fillId="0" borderId="13" xfId="8" applyFont="1" applyBorder="1" applyAlignment="1">
      <alignment horizontal="center"/>
    </xf>
    <xf numFmtId="0" fontId="12" fillId="0" borderId="13" xfId="8" applyFont="1" applyBorder="1"/>
    <xf numFmtId="0" fontId="12" fillId="0" borderId="2" xfId="8" applyFont="1" applyBorder="1" applyAlignment="1">
      <alignment horizontal="center" wrapText="1"/>
    </xf>
    <xf numFmtId="0" fontId="31" fillId="0" borderId="10" xfId="8" applyBorder="1"/>
    <xf numFmtId="0" fontId="10" fillId="0" borderId="1" xfId="8" applyFont="1" applyBorder="1" applyAlignment="1">
      <alignment horizontal="left" indent="6"/>
    </xf>
    <xf numFmtId="0" fontId="10" fillId="0" borderId="13" xfId="8" applyFont="1" applyBorder="1" applyAlignment="1">
      <alignment horizontal="center"/>
    </xf>
    <xf numFmtId="0" fontId="10" fillId="0" borderId="1" xfId="8" applyFont="1" applyBorder="1" applyAlignment="1">
      <alignment horizontal="left" indent="5"/>
    </xf>
    <xf numFmtId="0" fontId="6" fillId="0" borderId="0" xfId="0" applyFont="1"/>
    <xf numFmtId="44" fontId="0" fillId="0" borderId="0" xfId="0" applyNumberFormat="1"/>
    <xf numFmtId="165" fontId="10" fillId="9" borderId="11" xfId="0" applyNumberFormat="1" applyFont="1" applyFill="1" applyBorder="1" applyAlignment="1">
      <alignment horizontal="center"/>
    </xf>
    <xf numFmtId="165" fontId="32" fillId="9" borderId="12" xfId="1" applyNumberFormat="1" applyFont="1" applyFill="1" applyBorder="1" applyAlignment="1"/>
    <xf numFmtId="0" fontId="12" fillId="9" borderId="14" xfId="0" applyFont="1" applyFill="1" applyBorder="1" applyAlignment="1">
      <alignment horizontal="center"/>
    </xf>
    <xf numFmtId="43" fontId="12" fillId="9" borderId="14" xfId="1" applyFont="1" applyFill="1" applyBorder="1" applyAlignment="1">
      <alignment horizontal="left" indent="1"/>
    </xf>
    <xf numFmtId="165" fontId="15" fillId="9" borderId="14" xfId="1" applyNumberFormat="1" applyFont="1" applyFill="1" applyBorder="1" applyAlignment="1"/>
    <xf numFmtId="37" fontId="15" fillId="9" borderId="14" xfId="1" applyNumberFormat="1" applyFont="1" applyFill="1" applyBorder="1" applyAlignment="1"/>
    <xf numFmtId="0" fontId="7" fillId="0" borderId="0" xfId="0" applyFont="1" applyAlignment="1">
      <alignment readingOrder="1"/>
    </xf>
    <xf numFmtId="165" fontId="7" fillId="0" borderId="0" xfId="0" applyNumberFormat="1" applyFont="1" applyAlignment="1">
      <alignment horizontal="center" wrapText="1" readingOrder="1"/>
    </xf>
    <xf numFmtId="0" fontId="7" fillId="0" borderId="0" xfId="0" applyFont="1" applyAlignment="1">
      <alignment horizontal="center" readingOrder="1"/>
    </xf>
    <xf numFmtId="0" fontId="7" fillId="0" borderId="0" xfId="0" applyFont="1" applyAlignment="1">
      <alignment vertical="center" readingOrder="1"/>
    </xf>
    <xf numFmtId="0" fontId="12" fillId="9" borderId="11" xfId="0" applyFont="1" applyFill="1" applyBorder="1"/>
    <xf numFmtId="37" fontId="12" fillId="9" borderId="11" xfId="1" applyNumberFormat="1" applyFont="1" applyFill="1" applyBorder="1" applyAlignment="1"/>
    <xf numFmtId="41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9" borderId="12" xfId="0" applyFont="1" applyFill="1" applyBorder="1"/>
    <xf numFmtId="41" fontId="12" fillId="0" borderId="0" xfId="0" applyNumberFormat="1" applyFont="1"/>
    <xf numFmtId="0" fontId="12" fillId="9" borderId="12" xfId="0" applyFont="1" applyFill="1" applyBorder="1" applyAlignment="1">
      <alignment horizontal="left"/>
    </xf>
    <xf numFmtId="0" fontId="12" fillId="9" borderId="12" xfId="0" applyFont="1" applyFill="1" applyBorder="1" applyAlignment="1">
      <alignment vertical="center"/>
    </xf>
    <xf numFmtId="0" fontId="12" fillId="9" borderId="14" xfId="0" applyFont="1" applyFill="1" applyBorder="1" applyAlignment="1">
      <alignment horizontal="left"/>
    </xf>
    <xf numFmtId="0" fontId="12" fillId="9" borderId="14" xfId="0" applyFont="1" applyFill="1" applyBorder="1"/>
    <xf numFmtId="165" fontId="12" fillId="9" borderId="14" xfId="1" applyNumberFormat="1" applyFont="1" applyFill="1" applyBorder="1" applyAlignment="1"/>
    <xf numFmtId="37" fontId="12" fillId="9" borderId="14" xfId="1" applyNumberFormat="1" applyFont="1" applyFill="1" applyBorder="1" applyAlignment="1"/>
    <xf numFmtId="0" fontId="12" fillId="0" borderId="13" xfId="0" applyFont="1" applyBorder="1"/>
    <xf numFmtId="165" fontId="10" fillId="7" borderId="2" xfId="3" applyNumberFormat="1" applyFont="1" applyFill="1" applyBorder="1" applyAlignment="1"/>
    <xf numFmtId="0" fontId="12" fillId="9" borderId="0" xfId="0" applyFont="1" applyFill="1" applyAlignment="1">
      <alignment horizontal="left"/>
    </xf>
    <xf numFmtId="0" fontId="12" fillId="7" borderId="0" xfId="0" applyFont="1" applyFill="1" applyAlignment="1">
      <alignment horizontal="left"/>
    </xf>
    <xf numFmtId="0" fontId="0" fillId="17" borderId="0" xfId="0" applyFill="1"/>
    <xf numFmtId="165" fontId="12" fillId="17" borderId="11" xfId="0" applyNumberFormat="1" applyFont="1" applyFill="1" applyBorder="1" applyAlignment="1">
      <alignment horizontal="center"/>
    </xf>
    <xf numFmtId="0" fontId="20" fillId="17" borderId="0" xfId="0" applyFont="1" applyFill="1" applyAlignment="1">
      <alignment horizontal="left" vertical="center"/>
    </xf>
    <xf numFmtId="0" fontId="11" fillId="17" borderId="0" xfId="0" applyFont="1" applyFill="1" applyAlignment="1">
      <alignment horizontal="left"/>
    </xf>
    <xf numFmtId="41" fontId="11" fillId="17" borderId="6" xfId="4" applyFont="1" applyFill="1" applyBorder="1" applyAlignment="1">
      <alignment horizontal="center"/>
    </xf>
    <xf numFmtId="40" fontId="11" fillId="17" borderId="0" xfId="0" applyNumberFormat="1" applyFont="1" applyFill="1" applyAlignment="1">
      <alignment horizontal="center"/>
    </xf>
    <xf numFmtId="9" fontId="11" fillId="17" borderId="6" xfId="2" applyFont="1" applyFill="1" applyBorder="1" applyAlignment="1"/>
    <xf numFmtId="165" fontId="11" fillId="17" borderId="6" xfId="0" applyNumberFormat="1" applyFont="1" applyFill="1" applyBorder="1" applyAlignment="1">
      <alignment horizontal="center"/>
    </xf>
    <xf numFmtId="40" fontId="11" fillId="17" borderId="0" xfId="0" applyNumberFormat="1" applyFont="1" applyFill="1" applyAlignment="1">
      <alignment horizontal="left"/>
    </xf>
    <xf numFmtId="165" fontId="11" fillId="17" borderId="3" xfId="0" applyNumberFormat="1" applyFont="1" applyFill="1" applyBorder="1"/>
    <xf numFmtId="0" fontId="11" fillId="17" borderId="0" xfId="0" applyFont="1" applyFill="1"/>
    <xf numFmtId="167" fontId="11" fillId="17" borderId="3" xfId="0" applyNumberFormat="1" applyFont="1" applyFill="1" applyBorder="1"/>
    <xf numFmtId="165" fontId="0" fillId="17" borderId="3" xfId="0" applyNumberFormat="1" applyFill="1" applyBorder="1"/>
    <xf numFmtId="165" fontId="11" fillId="17" borderId="0" xfId="0" applyNumberFormat="1" applyFont="1" applyFill="1"/>
    <xf numFmtId="10" fontId="11" fillId="17" borderId="3" xfId="2" applyNumberFormat="1" applyFont="1" applyFill="1" applyBorder="1"/>
    <xf numFmtId="43" fontId="11" fillId="17" borderId="0" xfId="1" applyFont="1" applyFill="1"/>
    <xf numFmtId="9" fontId="20" fillId="17" borderId="0" xfId="0" applyNumberFormat="1" applyFont="1" applyFill="1" applyAlignment="1">
      <alignment horizontal="left" vertical="center"/>
    </xf>
    <xf numFmtId="41" fontId="11" fillId="5" borderId="0" xfId="4" applyFont="1" applyFill="1" applyBorder="1" applyAlignment="1">
      <alignment horizontal="center"/>
    </xf>
    <xf numFmtId="9" fontId="11" fillId="5" borderId="0" xfId="2" applyFont="1" applyFill="1" applyBorder="1" applyAlignment="1"/>
    <xf numFmtId="165" fontId="11" fillId="5" borderId="0" xfId="0" applyNumberFormat="1" applyFont="1" applyFill="1" applyAlignment="1">
      <alignment horizontal="center"/>
    </xf>
    <xf numFmtId="165" fontId="11" fillId="10" borderId="0" xfId="0" applyNumberFormat="1" applyFont="1" applyFill="1"/>
    <xf numFmtId="167" fontId="11" fillId="5" borderId="0" xfId="0" applyNumberFormat="1" applyFont="1" applyFill="1"/>
    <xf numFmtId="165" fontId="0" fillId="10" borderId="0" xfId="0" applyNumberFormat="1" applyFill="1"/>
    <xf numFmtId="10" fontId="11" fillId="8" borderId="0" xfId="2" applyNumberFormat="1" applyFont="1" applyFill="1" applyBorder="1"/>
    <xf numFmtId="165" fontId="12" fillId="0" borderId="0" xfId="0" applyNumberFormat="1" applyFont="1"/>
    <xf numFmtId="0" fontId="2" fillId="17" borderId="0" xfId="0" applyFont="1" applyFill="1"/>
    <xf numFmtId="38" fontId="11" fillId="0" borderId="0" xfId="40" applyFont="1" applyBorder="1" applyAlignment="1">
      <alignment horizontal="center"/>
    </xf>
    <xf numFmtId="38" fontId="11" fillId="5" borderId="6" xfId="40" applyFont="1" applyFill="1" applyBorder="1" applyAlignment="1">
      <alignment horizontal="center"/>
    </xf>
    <xf numFmtId="9" fontId="11" fillId="5" borderId="6" xfId="54" applyFont="1" applyFill="1" applyBorder="1" applyAlignment="1"/>
    <xf numFmtId="165" fontId="11" fillId="10" borderId="29" xfId="0" applyNumberFormat="1" applyFont="1" applyFill="1" applyBorder="1"/>
    <xf numFmtId="9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52" fillId="0" borderId="0" xfId="0" applyFont="1"/>
    <xf numFmtId="0" fontId="53" fillId="0" borderId="0" xfId="0" applyFont="1"/>
    <xf numFmtId="0" fontId="53" fillId="0" borderId="0" xfId="0" applyFont="1" applyAlignment="1">
      <alignment horizontal="center"/>
    </xf>
    <xf numFmtId="0" fontId="50" fillId="0" borderId="0" xfId="0" applyFont="1"/>
    <xf numFmtId="43" fontId="50" fillId="0" borderId="0" xfId="1" applyFont="1" applyFill="1"/>
    <xf numFmtId="0" fontId="2" fillId="41" borderId="0" xfId="0" applyFont="1" applyFill="1"/>
    <xf numFmtId="0" fontId="2" fillId="41" borderId="0" xfId="0" applyFont="1" applyFill="1" applyAlignment="1">
      <alignment horizontal="center"/>
    </xf>
    <xf numFmtId="0" fontId="55" fillId="0" borderId="0" xfId="0" applyFont="1"/>
    <xf numFmtId="43" fontId="2" fillId="41" borderId="0" xfId="1" applyFont="1" applyFill="1" applyBorder="1" applyAlignment="1">
      <alignment horizontal="center" wrapText="1"/>
    </xf>
    <xf numFmtId="0" fontId="56" fillId="0" borderId="0" xfId="0" applyFont="1" applyAlignment="1">
      <alignment vertical="center"/>
    </xf>
    <xf numFmtId="164" fontId="0" fillId="0" borderId="0" xfId="1" applyNumberFormat="1" applyFont="1" applyProtection="1"/>
    <xf numFmtId="0" fontId="51" fillId="0" borderId="0" xfId="0" applyFont="1"/>
    <xf numFmtId="169" fontId="0" fillId="0" borderId="0" xfId="0" applyNumberFormat="1"/>
    <xf numFmtId="0" fontId="54" fillId="0" borderId="0" xfId="0" applyFont="1" applyAlignment="1">
      <alignment horizontal="center"/>
    </xf>
    <xf numFmtId="9" fontId="0" fillId="0" borderId="35" xfId="2" applyFont="1" applyFill="1" applyBorder="1"/>
    <xf numFmtId="164" fontId="0" fillId="0" borderId="35" xfId="1" applyNumberFormat="1" applyFont="1" applyFill="1" applyBorder="1"/>
    <xf numFmtId="38" fontId="0" fillId="0" borderId="35" xfId="0" applyNumberFormat="1" applyBorder="1"/>
    <xf numFmtId="40" fontId="0" fillId="0" borderId="35" xfId="0" applyNumberFormat="1" applyBorder="1"/>
    <xf numFmtId="164" fontId="2" fillId="0" borderId="35" xfId="1" applyNumberFormat="1" applyFont="1" applyFill="1" applyBorder="1"/>
    <xf numFmtId="9" fontId="0" fillId="0" borderId="35" xfId="2" applyFont="1" applyFill="1" applyBorder="1" applyProtection="1"/>
    <xf numFmtId="0" fontId="0" fillId="0" borderId="35" xfId="0" applyBorder="1"/>
    <xf numFmtId="165" fontId="0" fillId="0" borderId="35" xfId="3" applyNumberFormat="1" applyFont="1" applyBorder="1"/>
    <xf numFmtId="165" fontId="2" fillId="0" borderId="0" xfId="3" applyNumberFormat="1" applyFont="1" applyFill="1" applyBorder="1"/>
    <xf numFmtId="165" fontId="6" fillId="0" borderId="0" xfId="3" applyNumberFormat="1" applyFont="1" applyFill="1" applyBorder="1" applyAlignment="1">
      <alignment horizontal="left" wrapText="1"/>
    </xf>
    <xf numFmtId="0" fontId="2" fillId="13" borderId="35" xfId="0" applyFont="1" applyFill="1" applyBorder="1"/>
    <xf numFmtId="0" fontId="2" fillId="13" borderId="35" xfId="0" applyFont="1" applyFill="1" applyBorder="1" applyAlignment="1">
      <alignment horizontal="center"/>
    </xf>
    <xf numFmtId="169" fontId="2" fillId="13" borderId="35" xfId="0" applyNumberFormat="1" applyFont="1" applyFill="1" applyBorder="1" applyAlignment="1">
      <alignment horizontal="center"/>
    </xf>
    <xf numFmtId="169" fontId="0" fillId="0" borderId="35" xfId="1" applyNumberFormat="1" applyFont="1" applyBorder="1"/>
    <xf numFmtId="0" fontId="0" fillId="0" borderId="35" xfId="0" applyBorder="1" applyAlignment="1">
      <alignment horizontal="left"/>
    </xf>
    <xf numFmtId="43" fontId="0" fillId="0" borderId="35" xfId="1" applyFont="1" applyFill="1" applyBorder="1"/>
    <xf numFmtId="43" fontId="2" fillId="0" borderId="35" xfId="1" applyFont="1" applyFill="1" applyBorder="1"/>
    <xf numFmtId="166" fontId="0" fillId="0" borderId="35" xfId="0" applyNumberFormat="1" applyBorder="1"/>
    <xf numFmtId="166" fontId="2" fillId="0" borderId="35" xfId="0" applyNumberFormat="1" applyFont="1" applyBorder="1"/>
    <xf numFmtId="0" fontId="2" fillId="0" borderId="35" xfId="0" applyFont="1" applyBorder="1" applyAlignment="1">
      <alignment horizontal="left"/>
    </xf>
    <xf numFmtId="0" fontId="2" fillId="13" borderId="35" xfId="0" applyFont="1" applyFill="1" applyBorder="1" applyAlignment="1">
      <alignment horizontal="left"/>
    </xf>
    <xf numFmtId="166" fontId="2" fillId="13" borderId="35" xfId="0" applyNumberFormat="1" applyFont="1" applyFill="1" applyBorder="1"/>
    <xf numFmtId="0" fontId="2" fillId="0" borderId="0" xfId="0" applyFont="1" applyAlignment="1">
      <alignment horizontal="left"/>
    </xf>
    <xf numFmtId="0" fontId="2" fillId="13" borderId="0" xfId="0" applyFont="1" applyFill="1" applyAlignment="1">
      <alignment horizontal="left"/>
    </xf>
    <xf numFmtId="164" fontId="2" fillId="13" borderId="0" xfId="1" applyNumberFormat="1" applyFont="1" applyFill="1"/>
    <xf numFmtId="0" fontId="2" fillId="0" borderId="35" xfId="0" applyFont="1" applyBorder="1"/>
    <xf numFmtId="0" fontId="2" fillId="0" borderId="35" xfId="0" applyFont="1" applyBorder="1" applyAlignment="1">
      <alignment horizontal="center" wrapText="1"/>
    </xf>
    <xf numFmtId="44" fontId="0" fillId="0" borderId="35" xfId="3" applyFont="1" applyFill="1" applyBorder="1"/>
    <xf numFmtId="165" fontId="6" fillId="0" borderId="0" xfId="3" applyNumberFormat="1" applyFont="1" applyFill="1" applyBorder="1" applyAlignment="1">
      <alignment horizontal="center" wrapText="1"/>
    </xf>
    <xf numFmtId="165" fontId="50" fillId="0" borderId="0" xfId="3" applyNumberFormat="1" applyFont="1" applyFill="1" applyBorder="1" applyAlignment="1">
      <alignment horizontal="center" wrapText="1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58" fillId="0" borderId="0" xfId="0" applyFont="1"/>
    <xf numFmtId="0" fontId="54" fillId="0" borderId="0" xfId="0" applyFont="1"/>
    <xf numFmtId="0" fontId="2" fillId="0" borderId="35" xfId="0" applyFont="1" applyBorder="1" applyAlignment="1">
      <alignment horizontal="center"/>
    </xf>
    <xf numFmtId="0" fontId="0" fillId="0" borderId="35" xfId="0" applyBorder="1" applyAlignment="1">
      <alignment horizontal="left" indent="1"/>
    </xf>
    <xf numFmtId="165" fontId="2" fillId="0" borderId="35" xfId="3" applyNumberFormat="1" applyFont="1" applyFill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0" fillId="0" borderId="35" xfId="0" applyBorder="1" applyAlignment="1">
      <alignment horizontal="left" wrapText="1" indent="1"/>
    </xf>
    <xf numFmtId="0" fontId="0" fillId="0" borderId="35" xfId="0" applyBorder="1" applyAlignment="1">
      <alignment horizontal="left" indent="2"/>
    </xf>
    <xf numFmtId="165" fontId="1" fillId="0" borderId="35" xfId="3" applyNumberFormat="1" applyFont="1" applyFill="1" applyBorder="1"/>
    <xf numFmtId="165" fontId="2" fillId="0" borderId="35" xfId="3" applyNumberFormat="1" applyFont="1" applyFill="1" applyBorder="1"/>
    <xf numFmtId="165" fontId="0" fillId="0" borderId="35" xfId="0" applyNumberFormat="1" applyBorder="1"/>
    <xf numFmtId="165" fontId="0" fillId="43" borderId="35" xfId="3" applyNumberFormat="1" applyFont="1" applyFill="1" applyBorder="1" applyProtection="1">
      <protection locked="0"/>
    </xf>
    <xf numFmtId="14" fontId="0" fillId="43" borderId="35" xfId="0" applyNumberFormat="1" applyFill="1" applyBorder="1" applyProtection="1">
      <protection locked="0"/>
    </xf>
    <xf numFmtId="165" fontId="2" fillId="0" borderId="35" xfId="3" applyNumberFormat="1" applyFont="1" applyFill="1" applyBorder="1" applyProtection="1"/>
    <xf numFmtId="165" fontId="2" fillId="0" borderId="35" xfId="3" applyNumberFormat="1" applyFont="1" applyFill="1" applyBorder="1" applyAlignment="1" applyProtection="1">
      <alignment horizontal="left" wrapText="1"/>
    </xf>
    <xf numFmtId="165" fontId="0" fillId="0" borderId="35" xfId="3" applyNumberFormat="1" applyFont="1" applyFill="1" applyBorder="1" applyProtection="1"/>
    <xf numFmtId="0" fontId="2" fillId="0" borderId="0" xfId="0" applyFont="1" applyAlignment="1">
      <alignment horizontal="right"/>
    </xf>
    <xf numFmtId="165" fontId="0" fillId="0" borderId="0" xfId="3" applyNumberFormat="1" applyFont="1" applyFill="1"/>
    <xf numFmtId="165" fontId="0" fillId="0" borderId="35" xfId="3" applyNumberFormat="1" applyFont="1" applyFill="1" applyBorder="1"/>
    <xf numFmtId="165" fontId="2" fillId="44" borderId="35" xfId="3" applyNumberFormat="1" applyFont="1" applyFill="1" applyBorder="1"/>
    <xf numFmtId="0" fontId="0" fillId="44" borderId="35" xfId="0" applyFill="1" applyBorder="1"/>
    <xf numFmtId="165" fontId="1" fillId="44" borderId="35" xfId="3" applyNumberFormat="1" applyFont="1" applyFill="1" applyBorder="1" applyProtection="1"/>
    <xf numFmtId="165" fontId="1" fillId="44" borderId="35" xfId="3" applyNumberFormat="1" applyFont="1" applyFill="1" applyBorder="1"/>
    <xf numFmtId="0" fontId="2" fillId="44" borderId="35" xfId="0" applyFont="1" applyFill="1" applyBorder="1"/>
    <xf numFmtId="165" fontId="2" fillId="13" borderId="35" xfId="0" applyNumberFormat="1" applyFont="1" applyFill="1" applyBorder="1"/>
    <xf numFmtId="165" fontId="50" fillId="13" borderId="35" xfId="3" applyNumberFormat="1" applyFont="1" applyFill="1" applyBorder="1" applyAlignment="1">
      <alignment horizontal="left" wrapText="1"/>
    </xf>
    <xf numFmtId="165" fontId="2" fillId="13" borderId="35" xfId="3" applyNumberFormat="1" applyFont="1" applyFill="1" applyBorder="1" applyAlignment="1">
      <alignment horizontal="left" wrapText="1"/>
    </xf>
    <xf numFmtId="165" fontId="2" fillId="13" borderId="35" xfId="3" applyNumberFormat="1" applyFont="1" applyFill="1" applyBorder="1" applyProtection="1"/>
    <xf numFmtId="0" fontId="0" fillId="44" borderId="35" xfId="0" applyFill="1" applyBorder="1" applyAlignment="1">
      <alignment horizontal="left" indent="1"/>
    </xf>
    <xf numFmtId="165" fontId="1" fillId="43" borderId="35" xfId="3" applyNumberFormat="1" applyFont="1" applyFill="1" applyBorder="1" applyProtection="1">
      <protection locked="0"/>
    </xf>
    <xf numFmtId="14" fontId="0" fillId="43" borderId="35" xfId="0" applyNumberFormat="1" applyFill="1" applyBorder="1" applyAlignment="1" applyProtection="1">
      <alignment horizontal="center"/>
      <protection locked="0"/>
    </xf>
    <xf numFmtId="0" fontId="50" fillId="0" borderId="0" xfId="0" quotePrefix="1" applyFont="1"/>
    <xf numFmtId="0" fontId="52" fillId="0" borderId="0" xfId="0" applyFont="1" applyAlignment="1">
      <alignment horizontal="centerContinuous"/>
    </xf>
    <xf numFmtId="3" fontId="52" fillId="0" borderId="0" xfId="0" applyNumberFormat="1" applyFont="1" applyAlignment="1">
      <alignment horizontal="centerContinuous"/>
    </xf>
    <xf numFmtId="9" fontId="59" fillId="0" borderId="0" xfId="0" applyNumberFormat="1" applyFont="1" applyAlignment="1">
      <alignment horizontal="centerContinuous"/>
    </xf>
    <xf numFmtId="3" fontId="59" fillId="0" borderId="0" xfId="0" applyNumberFormat="1" applyFont="1" applyAlignment="1">
      <alignment horizontal="centerContinuous"/>
    </xf>
    <xf numFmtId="0" fontId="59" fillId="0" borderId="0" xfId="0" applyFont="1" applyAlignment="1">
      <alignment horizontal="centerContinuous"/>
    </xf>
    <xf numFmtId="0" fontId="59" fillId="0" borderId="0" xfId="0" applyFont="1"/>
    <xf numFmtId="0" fontId="52" fillId="0" borderId="0" xfId="0" applyFont="1" applyAlignment="1">
      <alignment horizontal="center"/>
    </xf>
    <xf numFmtId="9" fontId="59" fillId="0" borderId="0" xfId="0" applyNumberFormat="1" applyFont="1"/>
    <xf numFmtId="3" fontId="59" fillId="0" borderId="0" xfId="0" applyNumberFormat="1" applyFont="1"/>
    <xf numFmtId="14" fontId="59" fillId="0" borderId="0" xfId="0" applyNumberFormat="1" applyFont="1" applyAlignment="1">
      <alignment horizontal="left"/>
    </xf>
    <xf numFmtId="0" fontId="52" fillId="0" borderId="35" xfId="0" applyFont="1" applyBorder="1" applyAlignment="1">
      <alignment horizontal="center"/>
    </xf>
    <xf numFmtId="0" fontId="52" fillId="43" borderId="35" xfId="71" applyFont="1" applyFill="1" applyBorder="1" applyAlignment="1" applyProtection="1">
      <alignment horizontal="left"/>
      <protection locked="0"/>
    </xf>
    <xf numFmtId="0" fontId="52" fillId="43" borderId="35" xfId="71" applyFont="1" applyFill="1" applyBorder="1" applyAlignment="1" applyProtection="1">
      <alignment horizontal="center"/>
      <protection locked="0"/>
    </xf>
    <xf numFmtId="14" fontId="52" fillId="43" borderId="35" xfId="71" applyNumberFormat="1" applyFont="1" applyFill="1" applyBorder="1" applyAlignment="1" applyProtection="1">
      <alignment horizontal="center"/>
      <protection locked="0"/>
    </xf>
    <xf numFmtId="164" fontId="52" fillId="43" borderId="35" xfId="1" applyNumberFormat="1" applyFont="1" applyFill="1" applyBorder="1" applyAlignment="1" applyProtection="1">
      <alignment horizontal="center"/>
      <protection locked="0"/>
    </xf>
    <xf numFmtId="165" fontId="52" fillId="43" borderId="35" xfId="3" quotePrefix="1" applyNumberFormat="1" applyFont="1" applyFill="1" applyBorder="1" applyAlignment="1" applyProtection="1">
      <alignment horizontal="right"/>
      <protection locked="0"/>
    </xf>
    <xf numFmtId="9" fontId="52" fillId="43" borderId="35" xfId="0" quotePrefix="1" applyNumberFormat="1" applyFont="1" applyFill="1" applyBorder="1" applyAlignment="1" applyProtection="1">
      <alignment horizontal="center"/>
      <protection locked="0"/>
    </xf>
    <xf numFmtId="165" fontId="52" fillId="0" borderId="35" xfId="3" applyNumberFormat="1" applyFont="1" applyFill="1" applyBorder="1"/>
    <xf numFmtId="165" fontId="52" fillId="0" borderId="35" xfId="3" applyNumberFormat="1" applyFont="1" applyFill="1" applyBorder="1" applyProtection="1"/>
    <xf numFmtId="0" fontId="52" fillId="43" borderId="35" xfId="0" applyFont="1" applyFill="1" applyBorder="1" applyAlignment="1" applyProtection="1">
      <alignment horizontal="left"/>
      <protection locked="0"/>
    </xf>
    <xf numFmtId="1" fontId="52" fillId="43" borderId="35" xfId="0" applyNumberFormat="1" applyFont="1" applyFill="1" applyBorder="1" applyAlignment="1" applyProtection="1">
      <alignment horizontal="center"/>
      <protection locked="0"/>
    </xf>
    <xf numFmtId="14" fontId="52" fillId="43" borderId="35" xfId="0" applyNumberFormat="1" applyFont="1" applyFill="1" applyBorder="1" applyAlignment="1" applyProtection="1">
      <alignment horizontal="center"/>
      <protection locked="0"/>
    </xf>
    <xf numFmtId="165" fontId="52" fillId="43" borderId="35" xfId="3" applyNumberFormat="1" applyFont="1" applyFill="1" applyBorder="1" applyAlignment="1" applyProtection="1">
      <alignment horizontal="right"/>
      <protection locked="0"/>
    </xf>
    <xf numFmtId="0" fontId="52" fillId="43" borderId="35" xfId="0" applyFont="1" applyFill="1" applyBorder="1" applyAlignment="1" applyProtection="1">
      <alignment horizontal="center"/>
      <protection locked="0"/>
    </xf>
    <xf numFmtId="0" fontId="52" fillId="43" borderId="35" xfId="0" applyFont="1" applyFill="1" applyBorder="1" applyAlignment="1" applyProtection="1">
      <alignment horizontal="left" wrapText="1"/>
      <protection locked="0"/>
    </xf>
    <xf numFmtId="1" fontId="52" fillId="43" borderId="35" xfId="0" applyNumberFormat="1" applyFont="1" applyFill="1" applyBorder="1" applyAlignment="1" applyProtection="1">
      <alignment horizontal="center" wrapText="1"/>
      <protection locked="0"/>
    </xf>
    <xf numFmtId="170" fontId="52" fillId="43" borderId="35" xfId="0" applyNumberFormat="1" applyFont="1" applyFill="1" applyBorder="1" applyAlignment="1" applyProtection="1">
      <alignment horizontal="center"/>
      <protection locked="0"/>
    </xf>
    <xf numFmtId="164" fontId="52" fillId="43" borderId="35" xfId="1" applyNumberFormat="1" applyFont="1" applyFill="1" applyBorder="1" applyAlignment="1" applyProtection="1">
      <alignment horizontal="center" vertical="center"/>
      <protection locked="0"/>
    </xf>
    <xf numFmtId="0" fontId="60" fillId="43" borderId="35" xfId="0" applyFont="1" applyFill="1" applyBorder="1" applyAlignment="1" applyProtection="1">
      <alignment horizontal="left" wrapText="1"/>
      <protection locked="0"/>
    </xf>
    <xf numFmtId="0" fontId="60" fillId="43" borderId="35" xfId="0" applyFont="1" applyFill="1" applyBorder="1" applyAlignment="1" applyProtection="1">
      <alignment horizontal="center" wrapText="1"/>
      <protection locked="0"/>
    </xf>
    <xf numFmtId="166" fontId="60" fillId="43" borderId="35" xfId="0" applyNumberFormat="1" applyFont="1" applyFill="1" applyBorder="1" applyAlignment="1" applyProtection="1">
      <alignment horizontal="center"/>
      <protection locked="0"/>
    </xf>
    <xf numFmtId="165" fontId="60" fillId="43" borderId="35" xfId="3" applyNumberFormat="1" applyFont="1" applyFill="1" applyBorder="1" applyAlignment="1" applyProtection="1">
      <alignment horizontal="right"/>
      <protection locked="0"/>
    </xf>
    <xf numFmtId="9" fontId="52" fillId="43" borderId="35" xfId="0" applyNumberFormat="1" applyFont="1" applyFill="1" applyBorder="1" applyAlignment="1" applyProtection="1">
      <alignment horizontal="center"/>
      <protection locked="0"/>
    </xf>
    <xf numFmtId="165" fontId="50" fillId="44" borderId="36" xfId="3" applyNumberFormat="1" applyFont="1" applyFill="1" applyBorder="1" applyAlignment="1" applyProtection="1">
      <alignment horizontal="right"/>
    </xf>
    <xf numFmtId="165" fontId="50" fillId="44" borderId="36" xfId="3" applyNumberFormat="1" applyFont="1" applyFill="1" applyBorder="1" applyProtection="1"/>
    <xf numFmtId="9" fontId="50" fillId="44" borderId="36" xfId="0" applyNumberFormat="1" applyFont="1" applyFill="1" applyBorder="1"/>
    <xf numFmtId="166" fontId="50" fillId="44" borderId="36" xfId="0" applyNumberFormat="1" applyFont="1" applyFill="1" applyBorder="1" applyAlignment="1">
      <alignment horizontal="center"/>
    </xf>
    <xf numFmtId="165" fontId="59" fillId="0" borderId="0" xfId="0" applyNumberFormat="1" applyFont="1"/>
    <xf numFmtId="0" fontId="61" fillId="0" borderId="0" xfId="0" applyFont="1"/>
    <xf numFmtId="37" fontId="0" fillId="0" borderId="0" xfId="0" applyNumberFormat="1"/>
    <xf numFmtId="0" fontId="52" fillId="0" borderId="35" xfId="0" applyFont="1" applyBorder="1" applyAlignment="1">
      <alignment horizontal="center" wrapText="1"/>
    </xf>
    <xf numFmtId="0" fontId="50" fillId="0" borderId="35" xfId="0" applyFont="1" applyBorder="1"/>
    <xf numFmtId="0" fontId="0" fillId="43" borderId="35" xfId="0" applyFill="1" applyBorder="1" applyProtection="1">
      <protection locked="0"/>
    </xf>
    <xf numFmtId="0" fontId="54" fillId="0" borderId="0" xfId="0" applyFont="1" applyAlignment="1">
      <alignment horizontal="left"/>
    </xf>
    <xf numFmtId="165" fontId="52" fillId="0" borderId="0" xfId="0" applyNumberFormat="1" applyFont="1"/>
    <xf numFmtId="167" fontId="52" fillId="0" borderId="0" xfId="0" applyNumberFormat="1" applyFont="1"/>
    <xf numFmtId="4" fontId="0" fillId="0" borderId="0" xfId="39" applyFont="1" applyFill="1" applyBorder="1"/>
    <xf numFmtId="0" fontId="52" fillId="0" borderId="0" xfId="0" applyFont="1" applyAlignment="1">
      <alignment horizontal="left" vertical="center"/>
    </xf>
    <xf numFmtId="3" fontId="52" fillId="0" borderId="0" xfId="0" applyNumberFormat="1" applyFont="1"/>
    <xf numFmtId="0" fontId="0" fillId="0" borderId="0" xfId="0" applyAlignment="1">
      <alignment horizontal="center" wrapText="1"/>
    </xf>
    <xf numFmtId="0" fontId="0" fillId="0" borderId="35" xfId="0" applyBorder="1" applyAlignment="1">
      <alignment horizontal="center" wrapText="1"/>
    </xf>
    <xf numFmtId="165" fontId="52" fillId="0" borderId="35" xfId="0" applyNumberFormat="1" applyFont="1" applyBorder="1"/>
    <xf numFmtId="0" fontId="0" fillId="43" borderId="35" xfId="0" applyFill="1" applyBorder="1" applyAlignment="1" applyProtection="1">
      <alignment horizontal="centerContinuous"/>
      <protection locked="0"/>
    </xf>
    <xf numFmtId="167" fontId="52" fillId="43" borderId="35" xfId="0" applyNumberFormat="1" applyFont="1" applyFill="1" applyBorder="1" applyProtection="1">
      <protection locked="0"/>
    </xf>
    <xf numFmtId="10" fontId="52" fillId="43" borderId="35" xfId="54" applyNumberFormat="1" applyFont="1" applyFill="1" applyBorder="1" applyProtection="1">
      <protection locked="0"/>
    </xf>
    <xf numFmtId="4" fontId="52" fillId="0" borderId="35" xfId="39" applyFont="1" applyFill="1" applyBorder="1"/>
    <xf numFmtId="2" fontId="52" fillId="44" borderId="35" xfId="0" applyNumberFormat="1" applyFont="1" applyFill="1" applyBorder="1"/>
    <xf numFmtId="38" fontId="52" fillId="13" borderId="31" xfId="40" applyFont="1" applyFill="1" applyBorder="1" applyAlignment="1">
      <alignment horizontal="center"/>
    </xf>
    <xf numFmtId="9" fontId="52" fillId="13" borderId="31" xfId="54" applyFont="1" applyFill="1" applyBorder="1" applyAlignment="1"/>
    <xf numFmtId="165" fontId="50" fillId="13" borderId="31" xfId="0" applyNumberFormat="1" applyFont="1" applyFill="1" applyBorder="1" applyAlignment="1">
      <alignment horizontal="right"/>
    </xf>
    <xf numFmtId="165" fontId="50" fillId="13" borderId="31" xfId="0" applyNumberFormat="1" applyFont="1" applyFill="1" applyBorder="1"/>
    <xf numFmtId="167" fontId="50" fillId="13" borderId="31" xfId="0" applyNumberFormat="1" applyFont="1" applyFill="1" applyBorder="1"/>
    <xf numFmtId="2" fontId="50" fillId="13" borderId="30" xfId="1" applyNumberFormat="1" applyFont="1" applyFill="1" applyBorder="1" applyAlignment="1"/>
    <xf numFmtId="0" fontId="0" fillId="44" borderId="33" xfId="0" applyFill="1" applyBorder="1" applyAlignment="1">
      <alignment horizontal="centerContinuous"/>
    </xf>
    <xf numFmtId="168" fontId="52" fillId="0" borderId="35" xfId="0" applyNumberFormat="1" applyFont="1" applyBorder="1" applyAlignment="1">
      <alignment horizontal="center" wrapText="1"/>
    </xf>
    <xf numFmtId="165" fontId="0" fillId="0" borderId="32" xfId="0" applyNumberFormat="1" applyBorder="1"/>
    <xf numFmtId="165" fontId="2" fillId="44" borderId="36" xfId="0" applyNumberFormat="1" applyFont="1" applyFill="1" applyBorder="1"/>
    <xf numFmtId="168" fontId="50" fillId="0" borderId="0" xfId="0" applyNumberFormat="1" applyFont="1" applyAlignment="1">
      <alignment horizontal="center" wrapText="1"/>
    </xf>
    <xf numFmtId="168" fontId="12" fillId="0" borderId="35" xfId="0" applyNumberFormat="1" applyFont="1" applyBorder="1" applyAlignment="1">
      <alignment horizontal="center" wrapText="1"/>
    </xf>
    <xf numFmtId="164" fontId="52" fillId="0" borderId="0" xfId="1" applyNumberFormat="1" applyFont="1" applyFill="1" applyBorder="1" applyAlignment="1" applyProtection="1">
      <alignment horizontal="right" vertical="top"/>
    </xf>
    <xf numFmtId="0" fontId="0" fillId="40" borderId="0" xfId="0" applyFill="1"/>
    <xf numFmtId="164" fontId="52" fillId="0" borderId="0" xfId="0" applyNumberFormat="1" applyFont="1" applyAlignment="1">
      <alignment vertical="top"/>
    </xf>
    <xf numFmtId="164" fontId="52" fillId="0" borderId="0" xfId="1" applyNumberFormat="1" applyFont="1" applyFill="1" applyBorder="1" applyAlignment="1" applyProtection="1">
      <alignment vertical="top" wrapText="1"/>
    </xf>
    <xf numFmtId="164" fontId="52" fillId="0" borderId="0" xfId="1" applyNumberFormat="1" applyFont="1" applyFill="1" applyBorder="1" applyAlignment="1" applyProtection="1">
      <alignment vertical="top"/>
    </xf>
    <xf numFmtId="164" fontId="52" fillId="0" borderId="0" xfId="7" applyNumberFormat="1" applyFont="1" applyFill="1" applyBorder="1" applyAlignment="1" applyProtection="1">
      <alignment vertical="top"/>
    </xf>
    <xf numFmtId="0" fontId="50" fillId="44" borderId="36" xfId="0" applyFont="1" applyFill="1" applyBorder="1"/>
    <xf numFmtId="0" fontId="52" fillId="0" borderId="35" xfId="0" applyFont="1" applyBorder="1"/>
    <xf numFmtId="0" fontId="52" fillId="0" borderId="0" xfId="0" applyFont="1" applyAlignment="1">
      <alignment horizontal="left"/>
    </xf>
    <xf numFmtId="0" fontId="52" fillId="13" borderId="31" xfId="0" applyFont="1" applyFill="1" applyBorder="1" applyAlignment="1">
      <alignment horizontal="left"/>
    </xf>
    <xf numFmtId="0" fontId="52" fillId="44" borderId="31" xfId="0" applyFont="1" applyFill="1" applyBorder="1" applyAlignment="1">
      <alignment horizontal="center" wrapText="1"/>
    </xf>
    <xf numFmtId="43" fontId="0" fillId="43" borderId="35" xfId="1" applyFont="1" applyFill="1" applyBorder="1" applyAlignment="1">
      <alignment horizontal="left"/>
    </xf>
    <xf numFmtId="0" fontId="50" fillId="44" borderId="36" xfId="0" applyFont="1" applyFill="1" applyBorder="1" applyAlignment="1">
      <alignment horizontal="right" wrapText="1"/>
    </xf>
    <xf numFmtId="43" fontId="50" fillId="44" borderId="36" xfId="1" applyFont="1" applyFill="1" applyBorder="1" applyAlignment="1">
      <alignment horizontal="center" wrapText="1"/>
    </xf>
    <xf numFmtId="44" fontId="50" fillId="44" borderId="36" xfId="3" applyFont="1" applyFill="1" applyBorder="1" applyAlignment="1">
      <alignment horizontal="center" wrapText="1"/>
    </xf>
    <xf numFmtId="165" fontId="50" fillId="44" borderId="36" xfId="3" applyNumberFormat="1" applyFont="1" applyFill="1" applyBorder="1" applyAlignment="1">
      <alignment horizontal="center" wrapText="1"/>
    </xf>
    <xf numFmtId="164" fontId="50" fillId="44" borderId="36" xfId="1" applyNumberFormat="1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64" fontId="1" fillId="0" borderId="0" xfId="1" applyNumberFormat="1" applyFont="1" applyBorder="1"/>
    <xf numFmtId="43" fontId="1" fillId="0" borderId="0" xfId="1" applyFont="1" applyBorder="1"/>
    <xf numFmtId="1" fontId="0" fillId="0" borderId="0" xfId="0" applyNumberFormat="1"/>
    <xf numFmtId="9" fontId="1" fillId="0" borderId="0" xfId="2" applyFont="1" applyBorder="1"/>
    <xf numFmtId="9" fontId="1" fillId="0" borderId="0" xfId="2" applyFont="1"/>
    <xf numFmtId="0" fontId="0" fillId="0" borderId="35" xfId="0" applyBorder="1" applyAlignment="1">
      <alignment horizontal="center"/>
    </xf>
    <xf numFmtId="40" fontId="2" fillId="0" borderId="35" xfId="0" applyNumberFormat="1" applyFont="1" applyBorder="1"/>
    <xf numFmtId="164" fontId="2" fillId="13" borderId="35" xfId="1" applyNumberFormat="1" applyFont="1" applyFill="1" applyBorder="1"/>
    <xf numFmtId="37" fontId="2" fillId="0" borderId="35" xfId="0" applyNumberFormat="1" applyFont="1" applyBorder="1"/>
    <xf numFmtId="9" fontId="2" fillId="0" borderId="35" xfId="2" applyFont="1" applyFill="1" applyBorder="1"/>
    <xf numFmtId="0" fontId="55" fillId="0" borderId="35" xfId="0" applyFont="1" applyBorder="1"/>
    <xf numFmtId="0" fontId="50" fillId="0" borderId="35" xfId="0" applyFont="1" applyBorder="1" applyAlignment="1">
      <alignment horizontal="right"/>
    </xf>
    <xf numFmtId="0" fontId="2" fillId="13" borderId="36" xfId="0" applyFont="1" applyFill="1" applyBorder="1" applyAlignment="1">
      <alignment horizontal="right"/>
    </xf>
    <xf numFmtId="164" fontId="2" fillId="13" borderId="36" xfId="1" applyNumberFormat="1" applyFont="1" applyFill="1" applyBorder="1"/>
    <xf numFmtId="40" fontId="2" fillId="13" borderId="36" xfId="0" applyNumberFormat="1" applyFont="1" applyFill="1" applyBorder="1"/>
    <xf numFmtId="0" fontId="2" fillId="13" borderId="36" xfId="0" applyFont="1" applyFill="1" applyBorder="1"/>
    <xf numFmtId="165" fontId="2" fillId="13" borderId="36" xfId="0" applyNumberFormat="1" applyFont="1" applyFill="1" applyBorder="1"/>
    <xf numFmtId="165" fontId="50" fillId="13" borderId="36" xfId="3" applyNumberFormat="1" applyFont="1" applyFill="1" applyBorder="1" applyAlignment="1">
      <alignment horizontal="left" wrapText="1"/>
    </xf>
    <xf numFmtId="165" fontId="50" fillId="13" borderId="36" xfId="3" applyNumberFormat="1" applyFont="1" applyFill="1" applyBorder="1" applyAlignment="1">
      <alignment horizontal="center" wrapText="1"/>
    </xf>
    <xf numFmtId="0" fontId="50" fillId="41" borderId="0" xfId="0" applyFont="1" applyFill="1"/>
    <xf numFmtId="44" fontId="50" fillId="41" borderId="0" xfId="3" applyFont="1" applyFill="1"/>
    <xf numFmtId="164" fontId="2" fillId="13" borderId="35" xfId="1" applyNumberFormat="1" applyFont="1" applyFill="1" applyBorder="1" applyAlignment="1">
      <alignment horizontal="center"/>
    </xf>
    <xf numFmtId="2" fontId="0" fillId="0" borderId="35" xfId="1" applyNumberFormat="1" applyFont="1" applyFill="1" applyBorder="1"/>
    <xf numFmtId="44" fontId="0" fillId="0" borderId="35" xfId="3" applyFont="1" applyBorder="1"/>
    <xf numFmtId="0" fontId="2" fillId="0" borderId="35" xfId="0" applyFont="1" applyBorder="1" applyAlignment="1">
      <alignment horizontal="left" indent="2"/>
    </xf>
    <xf numFmtId="164" fontId="1" fillId="0" borderId="35" xfId="1" applyNumberFormat="1" applyFont="1" applyFill="1" applyBorder="1"/>
    <xf numFmtId="0" fontId="2" fillId="44" borderId="35" xfId="0" applyFont="1" applyFill="1" applyBorder="1" applyAlignment="1">
      <alignment horizontal="left" indent="2"/>
    </xf>
    <xf numFmtId="164" fontId="2" fillId="44" borderId="35" xfId="1" applyNumberFormat="1" applyFont="1" applyFill="1" applyBorder="1"/>
    <xf numFmtId="0" fontId="50" fillId="44" borderId="35" xfId="0" applyFont="1" applyFill="1" applyBorder="1" applyAlignment="1">
      <alignment horizontal="left" indent="2"/>
    </xf>
    <xf numFmtId="0" fontId="50" fillId="44" borderId="35" xfId="0" applyFont="1" applyFill="1" applyBorder="1"/>
    <xf numFmtId="164" fontId="50" fillId="44" borderId="35" xfId="1" applyNumberFormat="1" applyFont="1" applyFill="1" applyBorder="1"/>
    <xf numFmtId="0" fontId="50" fillId="0" borderId="35" xfId="0" applyFont="1" applyBorder="1" applyAlignment="1">
      <alignment horizontal="left" indent="2"/>
    </xf>
    <xf numFmtId="164" fontId="50" fillId="0" borderId="35" xfId="1" applyNumberFormat="1" applyFont="1" applyFill="1" applyBorder="1"/>
    <xf numFmtId="0" fontId="51" fillId="0" borderId="35" xfId="0" applyFont="1" applyBorder="1"/>
    <xf numFmtId="0" fontId="50" fillId="13" borderId="35" xfId="0" applyFont="1" applyFill="1" applyBorder="1" applyProtection="1">
      <protection locked="0"/>
    </xf>
    <xf numFmtId="0" fontId="50" fillId="13" borderId="35" xfId="0" applyFont="1" applyFill="1" applyBorder="1"/>
    <xf numFmtId="164" fontId="50" fillId="13" borderId="35" xfId="1" applyNumberFormat="1" applyFont="1" applyFill="1" applyBorder="1"/>
    <xf numFmtId="164" fontId="2" fillId="0" borderId="35" xfId="1" applyNumberFormat="1" applyFont="1" applyFill="1" applyBorder="1" applyAlignment="1">
      <alignment horizontal="center"/>
    </xf>
    <xf numFmtId="164" fontId="1" fillId="43" borderId="35" xfId="1" applyNumberFormat="1" applyFont="1" applyFill="1" applyBorder="1" applyProtection="1">
      <protection locked="0"/>
    </xf>
    <xf numFmtId="43" fontId="50" fillId="43" borderId="0" xfId="1" applyFont="1" applyFill="1" applyProtection="1">
      <protection locked="0"/>
    </xf>
    <xf numFmtId="169" fontId="0" fillId="43" borderId="35" xfId="0" applyNumberFormat="1" applyFill="1" applyBorder="1" applyProtection="1">
      <protection locked="0"/>
    </xf>
    <xf numFmtId="169" fontId="0" fillId="43" borderId="35" xfId="0" applyNumberFormat="1" applyFill="1" applyBorder="1" applyAlignment="1" applyProtection="1">
      <alignment horizontal="right"/>
      <protection locked="0"/>
    </xf>
    <xf numFmtId="43" fontId="0" fillId="43" borderId="35" xfId="1" applyFont="1" applyFill="1" applyBorder="1" applyProtection="1">
      <protection locked="0"/>
    </xf>
    <xf numFmtId="166" fontId="0" fillId="43" borderId="35" xfId="0" applyNumberForma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2" fillId="13" borderId="0" xfId="1" applyNumberFormat="1" applyFont="1" applyFill="1" applyProtection="1"/>
    <xf numFmtId="0" fontId="0" fillId="13" borderId="0" xfId="0" applyFill="1"/>
    <xf numFmtId="164" fontId="0" fillId="13" borderId="0" xfId="1" applyNumberFormat="1" applyFont="1" applyFill="1" applyProtection="1"/>
    <xf numFmtId="44" fontId="52" fillId="44" borderId="31" xfId="3" applyFont="1" applyFill="1" applyBorder="1" applyAlignment="1">
      <alignment horizontal="center" wrapText="1"/>
    </xf>
    <xf numFmtId="0" fontId="5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3" fontId="2" fillId="13" borderId="35" xfId="1" applyFont="1" applyFill="1" applyBorder="1"/>
    <xf numFmtId="43" fontId="2" fillId="44" borderId="35" xfId="1" applyFont="1" applyFill="1" applyBorder="1" applyAlignment="1"/>
    <xf numFmtId="43" fontId="50" fillId="44" borderId="35" xfId="1" applyFont="1" applyFill="1" applyBorder="1"/>
    <xf numFmtId="43" fontId="2" fillId="44" borderId="35" xfId="1" applyFont="1" applyFill="1" applyBorder="1"/>
    <xf numFmtId="43" fontId="50" fillId="13" borderId="35" xfId="1" applyFont="1" applyFill="1" applyBorder="1"/>
    <xf numFmtId="169" fontId="0" fillId="0" borderId="35" xfId="0" applyNumberFormat="1" applyBorder="1"/>
    <xf numFmtId="166" fontId="2" fillId="13" borderId="35" xfId="0" applyNumberFormat="1" applyFont="1" applyFill="1" applyBorder="1" applyProtection="1">
      <protection locked="0"/>
    </xf>
    <xf numFmtId="44" fontId="0" fillId="0" borderId="35" xfId="3" applyFont="1" applyBorder="1" applyProtection="1">
      <protection locked="0"/>
    </xf>
    <xf numFmtId="44" fontId="1" fillId="0" borderId="35" xfId="3" applyFont="1" applyBorder="1" applyProtection="1">
      <protection locked="0"/>
    </xf>
    <xf numFmtId="10" fontId="1" fillId="43" borderId="35" xfId="2" applyNumberFormat="1" applyFont="1" applyFill="1" applyBorder="1" applyProtection="1">
      <protection locked="0"/>
    </xf>
    <xf numFmtId="44" fontId="1" fillId="0" borderId="35" xfId="3" applyFont="1" applyBorder="1"/>
    <xf numFmtId="10" fontId="0" fillId="43" borderId="35" xfId="2" applyNumberFormat="1" applyFont="1" applyFill="1" applyBorder="1" applyProtection="1">
      <protection locked="0"/>
    </xf>
    <xf numFmtId="164" fontId="0" fillId="0" borderId="35" xfId="1" applyNumberFormat="1" applyFont="1" applyFill="1" applyBorder="1" applyProtection="1"/>
    <xf numFmtId="0" fontId="52" fillId="43" borderId="35" xfId="6" applyNumberFormat="1" applyFont="1" applyFill="1" applyBorder="1" applyAlignment="1" applyProtection="1">
      <alignment horizontal="center"/>
      <protection locked="0"/>
    </xf>
    <xf numFmtId="0" fontId="52" fillId="43" borderId="35" xfId="0" applyFont="1" applyFill="1" applyBorder="1" applyAlignment="1" applyProtection="1">
      <alignment horizontal="center" vertical="top" wrapText="1"/>
      <protection locked="0"/>
    </xf>
    <xf numFmtId="49" fontId="52" fillId="43" borderId="35" xfId="7" applyNumberFormat="1" applyFont="1" applyFill="1" applyBorder="1" applyAlignment="1" applyProtection="1">
      <alignment horizontal="left"/>
      <protection locked="0"/>
    </xf>
    <xf numFmtId="0" fontId="0" fillId="43" borderId="35" xfId="0" applyFill="1" applyBorder="1" applyAlignment="1" applyProtection="1">
      <alignment wrapText="1"/>
      <protection locked="0"/>
    </xf>
    <xf numFmtId="0" fontId="0" fillId="43" borderId="35" xfId="0" applyFill="1" applyBorder="1" applyAlignment="1" applyProtection="1">
      <alignment horizontal="left"/>
      <protection locked="0"/>
    </xf>
    <xf numFmtId="0" fontId="52" fillId="43" borderId="35" xfId="10" applyFont="1" applyFill="1" applyBorder="1" applyAlignment="1" applyProtection="1">
      <alignment horizontal="center"/>
      <protection locked="0"/>
    </xf>
    <xf numFmtId="43" fontId="52" fillId="43" borderId="35" xfId="1" applyFont="1" applyFill="1" applyBorder="1" applyAlignment="1" applyProtection="1">
      <protection locked="0"/>
    </xf>
    <xf numFmtId="43" fontId="52" fillId="43" borderId="35" xfId="1" applyFont="1" applyFill="1" applyBorder="1" applyAlignment="1" applyProtection="1">
      <alignment horizontal="right"/>
      <protection locked="0"/>
    </xf>
    <xf numFmtId="49" fontId="52" fillId="43" borderId="35" xfId="10" applyNumberFormat="1" applyFont="1" applyFill="1" applyBorder="1" applyAlignment="1" applyProtection="1">
      <alignment horizontal="center"/>
      <protection locked="0"/>
    </xf>
    <xf numFmtId="49" fontId="52" fillId="43" borderId="35" xfId="10" applyNumberFormat="1" applyFont="1" applyFill="1" applyBorder="1" applyAlignment="1" applyProtection="1">
      <alignment horizontal="left"/>
      <protection locked="0"/>
    </xf>
    <xf numFmtId="49" fontId="52" fillId="43" borderId="35" xfId="6" applyNumberFormat="1" applyFont="1" applyFill="1" applyBorder="1" applyAlignment="1" applyProtection="1">
      <alignment horizontal="center"/>
      <protection locked="0"/>
    </xf>
    <xf numFmtId="49" fontId="52" fillId="43" borderId="35" xfId="6" applyNumberFormat="1" applyFont="1" applyFill="1" applyBorder="1" applyAlignment="1" applyProtection="1">
      <alignment horizontal="left"/>
      <protection locked="0"/>
    </xf>
    <xf numFmtId="0" fontId="52" fillId="43" borderId="35" xfId="7" applyFont="1" applyFill="1" applyBorder="1" applyAlignment="1" applyProtection="1">
      <alignment wrapText="1"/>
      <protection locked="0"/>
    </xf>
    <xf numFmtId="0" fontId="52" fillId="43" borderId="35" xfId="7" applyFont="1" applyFill="1" applyBorder="1" applyAlignment="1" applyProtection="1">
      <alignment vertical="top"/>
      <protection locked="0"/>
    </xf>
    <xf numFmtId="49" fontId="52" fillId="43" borderId="35" xfId="7" applyNumberFormat="1" applyFont="1" applyFill="1" applyBorder="1" applyAlignment="1" applyProtection="1">
      <alignment horizontal="center"/>
      <protection locked="0"/>
    </xf>
    <xf numFmtId="43" fontId="52" fillId="43" borderId="35" xfId="1" applyFont="1" applyFill="1" applyBorder="1" applyAlignment="1" applyProtection="1">
      <alignment wrapText="1"/>
      <protection locked="0"/>
    </xf>
    <xf numFmtId="0" fontId="52" fillId="43" borderId="35" xfId="6" applyFont="1" applyFill="1" applyBorder="1" applyProtection="1">
      <protection locked="0"/>
    </xf>
    <xf numFmtId="0" fontId="0" fillId="43" borderId="35" xfId="66" applyFont="1" applyFill="1" applyBorder="1" applyAlignment="1" applyProtection="1">
      <alignment wrapText="1"/>
      <protection locked="0"/>
    </xf>
    <xf numFmtId="0" fontId="0" fillId="43" borderId="35" xfId="66" applyFont="1" applyFill="1" applyBorder="1" applyProtection="1">
      <protection locked="0"/>
    </xf>
    <xf numFmtId="0" fontId="52" fillId="43" borderId="35" xfId="10" applyFont="1" applyFill="1" applyBorder="1" applyAlignment="1" applyProtection="1">
      <alignment wrapText="1"/>
      <protection locked="0"/>
    </xf>
    <xf numFmtId="0" fontId="52" fillId="43" borderId="35" xfId="0" applyFont="1" applyFill="1" applyBorder="1" applyAlignment="1" applyProtection="1">
      <alignment vertical="top"/>
      <protection locked="0"/>
    </xf>
    <xf numFmtId="0" fontId="52" fillId="43" borderId="35" xfId="6" applyFont="1" applyFill="1" applyBorder="1" applyAlignment="1" applyProtection="1">
      <alignment vertical="top"/>
      <protection locked="0"/>
    </xf>
    <xf numFmtId="0" fontId="52" fillId="43" borderId="35" xfId="52" applyFont="1" applyFill="1" applyBorder="1" applyAlignment="1" applyProtection="1">
      <alignment wrapText="1"/>
      <protection locked="0"/>
    </xf>
    <xf numFmtId="0" fontId="52" fillId="43" borderId="35" xfId="66" applyFont="1" applyFill="1" applyBorder="1" applyAlignment="1" applyProtection="1">
      <alignment vertical="top"/>
      <protection locked="0"/>
    </xf>
    <xf numFmtId="0" fontId="52" fillId="43" borderId="35" xfId="0" applyFont="1" applyFill="1" applyBorder="1" applyAlignment="1" applyProtection="1">
      <alignment wrapText="1"/>
      <protection locked="0"/>
    </xf>
    <xf numFmtId="0" fontId="52" fillId="43" borderId="35" xfId="0" applyFont="1" applyFill="1" applyBorder="1" applyProtection="1">
      <protection locked="0"/>
    </xf>
    <xf numFmtId="49" fontId="52" fillId="43" borderId="32" xfId="10" applyNumberFormat="1" applyFont="1" applyFill="1" applyBorder="1" applyAlignment="1" applyProtection="1">
      <alignment horizontal="center"/>
      <protection locked="0"/>
    </xf>
    <xf numFmtId="43" fontId="52" fillId="43" borderId="32" xfId="1" applyFont="1" applyFill="1" applyBorder="1" applyAlignment="1" applyProtection="1">
      <protection locked="0"/>
    </xf>
    <xf numFmtId="0" fontId="52" fillId="43" borderId="3" xfId="0" applyFont="1" applyFill="1" applyBorder="1" applyAlignment="1" applyProtection="1">
      <alignment horizontal="left" wrapText="1"/>
      <protection locked="0"/>
    </xf>
    <xf numFmtId="1" fontId="52" fillId="43" borderId="3" xfId="0" applyNumberFormat="1" applyFont="1" applyFill="1" applyBorder="1" applyAlignment="1" applyProtection="1">
      <alignment horizontal="center" wrapText="1"/>
      <protection locked="0"/>
    </xf>
    <xf numFmtId="170" fontId="52" fillId="43" borderId="3" xfId="0" applyNumberFormat="1" applyFont="1" applyFill="1" applyBorder="1" applyAlignment="1" applyProtection="1">
      <alignment horizontal="center"/>
      <protection locked="0"/>
    </xf>
    <xf numFmtId="164" fontId="52" fillId="43" borderId="3" xfId="1" applyNumberFormat="1" applyFont="1" applyFill="1" applyBorder="1" applyAlignment="1" applyProtection="1">
      <alignment horizontal="center" vertical="center"/>
      <protection locked="0"/>
    </xf>
    <xf numFmtId="165" fontId="52" fillId="43" borderId="3" xfId="3" applyNumberFormat="1" applyFont="1" applyFill="1" applyBorder="1" applyAlignment="1" applyProtection="1">
      <alignment horizontal="right"/>
      <protection locked="0"/>
    </xf>
    <xf numFmtId="9" fontId="52" fillId="43" borderId="3" xfId="0" quotePrefix="1" applyNumberFormat="1" applyFont="1" applyFill="1" applyBorder="1" applyAlignment="1" applyProtection="1">
      <alignment horizontal="center"/>
      <protection locked="0"/>
    </xf>
    <xf numFmtId="14" fontId="52" fillId="43" borderId="3" xfId="71" applyNumberFormat="1" applyFont="1" applyFill="1" applyBorder="1" applyAlignment="1" applyProtection="1">
      <alignment horizontal="center"/>
      <protection locked="0"/>
    </xf>
    <xf numFmtId="14" fontId="52" fillId="43" borderId="3" xfId="0" applyNumberFormat="1" applyFont="1" applyFill="1" applyBorder="1" applyAlignment="1" applyProtection="1">
      <alignment horizontal="center"/>
      <protection locked="0"/>
    </xf>
    <xf numFmtId="166" fontId="60" fillId="43" borderId="3" xfId="0" applyNumberFormat="1" applyFont="1" applyFill="1" applyBorder="1" applyAlignment="1" applyProtection="1">
      <alignment horizontal="center"/>
      <protection locked="0"/>
    </xf>
    <xf numFmtId="164" fontId="1" fillId="0" borderId="35" xfId="1" applyNumberFormat="1" applyFont="1" applyFill="1" applyBorder="1" applyProtection="1"/>
    <xf numFmtId="167" fontId="52" fillId="43" borderId="35" xfId="2" applyNumberFormat="1" applyFont="1" applyFill="1" applyBorder="1" applyAlignment="1" applyProtection="1">
      <alignment horizontal="center" wrapText="1"/>
      <protection locked="0"/>
    </xf>
    <xf numFmtId="43" fontId="52" fillId="43" borderId="35" xfId="1" applyFont="1" applyFill="1" applyBorder="1" applyAlignment="1" applyProtection="1">
      <alignment horizontal="center"/>
      <protection locked="0"/>
    </xf>
    <xf numFmtId="0" fontId="0" fillId="44" borderId="3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3" fillId="0" borderId="0" xfId="5"/>
    <xf numFmtId="0" fontId="0" fillId="43" borderId="35" xfId="0" applyFill="1" applyBorder="1"/>
    <xf numFmtId="0" fontId="2" fillId="45" borderId="35" xfId="0" applyFont="1" applyFill="1" applyBorder="1"/>
    <xf numFmtId="0" fontId="52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0" fontId="52" fillId="0" borderId="0" xfId="0" quotePrefix="1" applyFont="1" applyAlignment="1" applyProtection="1">
      <alignment horizontal="left" vertical="center"/>
      <protection locked="0"/>
    </xf>
    <xf numFmtId="37" fontId="0" fillId="0" borderId="0" xfId="0" applyNumberFormat="1" applyProtection="1">
      <protection locked="0"/>
    </xf>
    <xf numFmtId="164" fontId="52" fillId="0" borderId="0" xfId="7" applyNumberFormat="1" applyFont="1" applyFill="1" applyBorder="1" applyAlignment="1" applyProtection="1">
      <alignment vertical="top"/>
      <protection locked="0"/>
    </xf>
    <xf numFmtId="43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59" fillId="0" borderId="0" xfId="0" applyFont="1" applyProtection="1">
      <protection locked="0"/>
    </xf>
    <xf numFmtId="44" fontId="52" fillId="0" borderId="35" xfId="0" quotePrefix="1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5" fontId="0" fillId="0" borderId="0" xfId="0" applyNumberFormat="1"/>
    <xf numFmtId="0" fontId="64" fillId="0" borderId="0" xfId="0" applyFont="1"/>
    <xf numFmtId="0" fontId="0" fillId="43" borderId="3" xfId="0" applyFill="1" applyBorder="1"/>
    <xf numFmtId="165" fontId="0" fillId="43" borderId="3" xfId="3" applyNumberFormat="1" applyFont="1" applyFill="1" applyBorder="1" applyProtection="1">
      <protection locked="0"/>
    </xf>
    <xf numFmtId="0" fontId="0" fillId="43" borderId="35" xfId="0" applyFill="1" applyBorder="1" applyAlignment="1" applyProtection="1">
      <alignment horizontal="left" indent="2"/>
      <protection locked="0"/>
    </xf>
    <xf numFmtId="0" fontId="0" fillId="43" borderId="35" xfId="0" applyFill="1" applyBorder="1" applyAlignment="1" applyProtection="1">
      <alignment horizontal="left" indent="1"/>
      <protection locked="0"/>
    </xf>
    <xf numFmtId="164" fontId="0" fillId="43" borderId="35" xfId="1" applyNumberFormat="1" applyFont="1" applyFill="1" applyBorder="1" applyProtection="1">
      <protection locked="0"/>
    </xf>
    <xf numFmtId="43" fontId="45" fillId="43" borderId="35" xfId="1" applyFont="1" applyFill="1" applyBorder="1" applyProtection="1">
      <protection locked="0"/>
    </xf>
    <xf numFmtId="43" fontId="45" fillId="43" borderId="3" xfId="1" applyFont="1" applyFill="1" applyBorder="1" applyProtection="1">
      <protection locked="0"/>
    </xf>
    <xf numFmtId="43" fontId="2" fillId="0" borderId="35" xfId="1" applyFont="1" applyBorder="1"/>
    <xf numFmtId="43" fontId="2" fillId="13" borderId="36" xfId="1" applyFont="1" applyFill="1" applyBorder="1"/>
    <xf numFmtId="43" fontId="50" fillId="44" borderId="36" xfId="1" applyFont="1" applyFill="1" applyBorder="1" applyAlignment="1" applyProtection="1"/>
    <xf numFmtId="0" fontId="0" fillId="43" borderId="3" xfId="0" applyFill="1" applyBorder="1" applyAlignment="1" applyProtection="1">
      <alignment horizontal="left"/>
      <protection locked="0"/>
    </xf>
    <xf numFmtId="0" fontId="0" fillId="43" borderId="3" xfId="0" applyFill="1" applyBorder="1" applyProtection="1">
      <protection locked="0"/>
    </xf>
    <xf numFmtId="44" fontId="52" fillId="0" borderId="35" xfId="3" applyFont="1" applyBorder="1"/>
    <xf numFmtId="44" fontId="52" fillId="0" borderId="0" xfId="3" applyFont="1"/>
    <xf numFmtId="44" fontId="50" fillId="13" borderId="31" xfId="3" applyFont="1" applyFill="1" applyBorder="1"/>
    <xf numFmtId="165" fontId="0" fillId="44" borderId="34" xfId="3" applyNumberFormat="1" applyFont="1" applyFill="1" applyBorder="1"/>
    <xf numFmtId="165" fontId="52" fillId="0" borderId="0" xfId="3" applyNumberFormat="1" applyFont="1"/>
    <xf numFmtId="165" fontId="50" fillId="13" borderId="31" xfId="3" applyNumberFormat="1" applyFont="1" applyFill="1" applyBorder="1"/>
    <xf numFmtId="165" fontId="2" fillId="0" borderId="0" xfId="0" applyNumberFormat="1" applyFont="1"/>
    <xf numFmtId="43" fontId="52" fillId="44" borderId="31" xfId="1" applyFont="1" applyFill="1" applyBorder="1" applyAlignment="1">
      <alignment horizontal="center" wrapText="1"/>
    </xf>
    <xf numFmtId="167" fontId="52" fillId="44" borderId="31" xfId="2" applyNumberFormat="1" applyFont="1" applyFill="1" applyBorder="1" applyAlignment="1">
      <alignment horizontal="center" wrapText="1"/>
    </xf>
    <xf numFmtId="0" fontId="0" fillId="43" borderId="35" xfId="0" applyFill="1" applyBorder="1" applyAlignment="1" applyProtection="1">
      <alignment horizontal="center" wrapText="1"/>
      <protection locked="0"/>
    </xf>
    <xf numFmtId="0" fontId="52" fillId="43" borderId="35" xfId="0" applyFont="1" applyFill="1" applyBorder="1" applyAlignment="1" applyProtection="1">
      <alignment horizontal="center" wrapText="1"/>
      <protection locked="0"/>
    </xf>
    <xf numFmtId="0" fontId="52" fillId="43" borderId="35" xfId="7" applyFont="1" applyFill="1" applyBorder="1" applyAlignment="1" applyProtection="1">
      <protection locked="0"/>
    </xf>
    <xf numFmtId="165" fontId="0" fillId="0" borderId="35" xfId="0" applyNumberFormat="1" applyBorder="1" applyProtection="1">
      <protection locked="0"/>
    </xf>
    <xf numFmtId="165" fontId="52" fillId="0" borderId="35" xfId="3" applyNumberFormat="1" applyFont="1" applyFill="1" applyBorder="1" applyAlignment="1" applyProtection="1">
      <alignment horizontal="right"/>
    </xf>
    <xf numFmtId="165" fontId="2" fillId="44" borderId="36" xfId="3" applyNumberFormat="1" applyFont="1" applyFill="1" applyBorder="1"/>
    <xf numFmtId="167" fontId="0" fillId="43" borderId="35" xfId="2" applyNumberFormat="1" applyFont="1" applyFill="1" applyBorder="1" applyProtection="1">
      <protection locked="0"/>
    </xf>
    <xf numFmtId="167" fontId="52" fillId="43" borderId="35" xfId="2" applyNumberFormat="1" applyFont="1" applyFill="1" applyBorder="1" applyAlignment="1" applyProtection="1">
      <alignment horizontal="center"/>
      <protection locked="0"/>
    </xf>
    <xf numFmtId="167" fontId="52" fillId="0" borderId="35" xfId="2" applyNumberFormat="1" applyFont="1" applyBorder="1"/>
    <xf numFmtId="167" fontId="52" fillId="43" borderId="3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4" fontId="0" fillId="43" borderId="3" xfId="0" applyNumberFormat="1" applyFill="1" applyBorder="1" applyProtection="1">
      <protection locked="0"/>
    </xf>
    <xf numFmtId="43" fontId="0" fillId="0" borderId="0" xfId="0" applyNumberFormat="1"/>
    <xf numFmtId="0" fontId="0" fillId="0" borderId="37" xfId="0" applyBorder="1" applyAlignment="1">
      <alignment horizontal="center" wrapText="1"/>
    </xf>
    <xf numFmtId="0" fontId="52" fillId="0" borderId="37" xfId="0" applyFont="1" applyBorder="1" applyAlignment="1">
      <alignment horizontal="center" wrapText="1"/>
    </xf>
    <xf numFmtId="38" fontId="52" fillId="0" borderId="37" xfId="40" applyFont="1" applyFill="1" applyBorder="1" applyAlignment="1">
      <alignment horizontal="center" wrapText="1"/>
    </xf>
    <xf numFmtId="4" fontId="52" fillId="0" borderId="37" xfId="39" applyFont="1" applyFill="1" applyBorder="1" applyAlignment="1">
      <alignment horizontal="center" wrapText="1"/>
    </xf>
    <xf numFmtId="164" fontId="52" fillId="43" borderId="35" xfId="1" applyNumberFormat="1" applyFont="1" applyFill="1" applyBorder="1" applyAlignment="1" applyProtection="1">
      <alignment horizontal="right"/>
      <protection locked="0"/>
    </xf>
    <xf numFmtId="164" fontId="52" fillId="43" borderId="35" xfId="1" quotePrefix="1" applyNumberFormat="1" applyFont="1" applyFill="1" applyBorder="1" applyAlignment="1" applyProtection="1">
      <alignment horizontal="right"/>
      <protection locked="0"/>
    </xf>
    <xf numFmtId="164" fontId="52" fillId="43" borderId="3" xfId="1" applyNumberFormat="1" applyFont="1" applyFill="1" applyBorder="1" applyAlignment="1" applyProtection="1">
      <alignment horizontal="right"/>
      <protection locked="0"/>
    </xf>
    <xf numFmtId="164" fontId="52" fillId="43" borderId="3" xfId="1" quotePrefix="1" applyNumberFormat="1" applyFont="1" applyFill="1" applyBorder="1" applyAlignment="1" applyProtection="1">
      <alignment horizontal="right"/>
      <protection locked="0"/>
    </xf>
    <xf numFmtId="0" fontId="55" fillId="0" borderId="0" xfId="0" applyFont="1" applyAlignment="1" applyProtection="1">
      <alignment horizontal="right"/>
      <protection locked="0"/>
    </xf>
    <xf numFmtId="0" fontId="2" fillId="46" borderId="0" xfId="0" applyFont="1" applyFill="1" applyAlignment="1" applyProtection="1">
      <alignment horizontal="center"/>
      <protection locked="0"/>
    </xf>
    <xf numFmtId="165" fontId="52" fillId="43" borderId="35" xfId="3" applyNumberFormat="1" applyFont="1" applyFill="1" applyBorder="1" applyAlignment="1" applyProtection="1">
      <protection locked="0"/>
    </xf>
    <xf numFmtId="165" fontId="0" fillId="0" borderId="0" xfId="3" applyNumberFormat="1" applyFont="1"/>
    <xf numFmtId="165" fontId="0" fillId="0" borderId="0" xfId="3" applyNumberFormat="1" applyFont="1" applyAlignment="1">
      <alignment horizontal="centerContinuous"/>
    </xf>
    <xf numFmtId="165" fontId="52" fillId="0" borderId="37" xfId="3" applyNumberFormat="1" applyFont="1" applyBorder="1" applyAlignment="1">
      <alignment horizontal="center" wrapText="1"/>
    </xf>
    <xf numFmtId="165" fontId="52" fillId="44" borderId="31" xfId="3" applyNumberFormat="1" applyFont="1" applyFill="1" applyBorder="1" applyAlignment="1">
      <alignment horizontal="center" wrapText="1"/>
    </xf>
    <xf numFmtId="165" fontId="52" fillId="43" borderId="3" xfId="3" applyNumberFormat="1" applyFont="1" applyFill="1" applyBorder="1" applyAlignment="1" applyProtection="1">
      <protection locked="0"/>
    </xf>
    <xf numFmtId="165" fontId="52" fillId="0" borderId="0" xfId="3" applyNumberFormat="1" applyFont="1" applyAlignment="1">
      <alignment horizontal="center"/>
    </xf>
    <xf numFmtId="165" fontId="52" fillId="13" borderId="31" xfId="3" applyNumberFormat="1" applyFont="1" applyFill="1" applyBorder="1" applyAlignment="1">
      <alignment horizontal="center"/>
    </xf>
    <xf numFmtId="165" fontId="0" fillId="0" borderId="0" xfId="3" applyNumberFormat="1" applyFont="1" applyProtection="1">
      <protection locked="0"/>
    </xf>
    <xf numFmtId="165" fontId="52" fillId="0" borderId="35" xfId="3" applyNumberFormat="1" applyFont="1" applyBorder="1"/>
    <xf numFmtId="165" fontId="53" fillId="0" borderId="0" xfId="3" applyNumberFormat="1" applyFont="1"/>
    <xf numFmtId="165" fontId="53" fillId="0" borderId="0" xfId="3" applyNumberFormat="1" applyFont="1" applyAlignment="1">
      <alignment horizontal="centerContinuous"/>
    </xf>
    <xf numFmtId="165" fontId="53" fillId="0" borderId="0" xfId="3" applyNumberFormat="1" applyFont="1" applyProtection="1">
      <protection locked="0"/>
    </xf>
    <xf numFmtId="43" fontId="0" fillId="0" borderId="35" xfId="1" applyFont="1" applyBorder="1" applyProtection="1">
      <protection locked="0"/>
    </xf>
    <xf numFmtId="0" fontId="58" fillId="0" borderId="0" xfId="0" applyFont="1" applyAlignment="1">
      <alignment horizontal="center"/>
    </xf>
    <xf numFmtId="0" fontId="50" fillId="44" borderId="0" xfId="0" applyFont="1" applyFill="1" applyAlignment="1">
      <alignment horizontal="center"/>
    </xf>
    <xf numFmtId="0" fontId="54" fillId="0" borderId="0" xfId="0" applyFont="1" applyAlignment="1">
      <alignment horizontal="center"/>
    </xf>
    <xf numFmtId="0" fontId="58" fillId="43" borderId="0" xfId="0" applyFont="1" applyFill="1" applyAlignment="1" applyProtection="1">
      <alignment horizontal="center"/>
      <protection locked="0"/>
    </xf>
    <xf numFmtId="0" fontId="0" fillId="43" borderId="0" xfId="0" applyFill="1" applyAlignment="1" applyProtection="1">
      <alignment horizontal="center"/>
      <protection locked="0"/>
    </xf>
    <xf numFmtId="0" fontId="2" fillId="44" borderId="35" xfId="0" applyFont="1" applyFill="1" applyBorder="1" applyAlignment="1">
      <alignment horizontal="center"/>
    </xf>
    <xf numFmtId="0" fontId="55" fillId="44" borderId="1" xfId="0" applyFont="1" applyFill="1" applyBorder="1" applyAlignment="1">
      <alignment horizontal="center"/>
    </xf>
    <xf numFmtId="0" fontId="55" fillId="44" borderId="13" xfId="0" applyFont="1" applyFill="1" applyBorder="1" applyAlignment="1">
      <alignment horizontal="center"/>
    </xf>
    <xf numFmtId="0" fontId="55" fillId="44" borderId="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35" xfId="1" applyNumberFormat="1" applyFont="1" applyFill="1" applyBorder="1" applyAlignment="1">
      <alignment horizontal="center" wrapText="1"/>
    </xf>
    <xf numFmtId="3" fontId="65" fillId="0" borderId="0" xfId="0" applyNumberFormat="1" applyFont="1" applyAlignment="1">
      <alignment horizontal="center" wrapText="1"/>
    </xf>
    <xf numFmtId="0" fontId="55" fillId="44" borderId="1" xfId="0" applyFont="1" applyFill="1" applyBorder="1" applyAlignment="1">
      <alignment horizontal="center" vertical="center"/>
    </xf>
    <xf numFmtId="0" fontId="55" fillId="44" borderId="13" xfId="0" applyFont="1" applyFill="1" applyBorder="1" applyAlignment="1">
      <alignment horizontal="center" vertical="center"/>
    </xf>
    <xf numFmtId="0" fontId="55" fillId="44" borderId="2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7" fillId="11" borderId="0" xfId="0" applyFont="1" applyFill="1" applyAlignment="1" applyProtection="1">
      <alignment horizontal="center"/>
      <protection locked="0"/>
    </xf>
    <xf numFmtId="2" fontId="18" fillId="11" borderId="0" xfId="0" applyNumberFormat="1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6" fillId="0" borderId="0" xfId="0" applyFont="1"/>
    <xf numFmtId="0" fontId="17" fillId="0" borderId="0" xfId="0" applyFont="1"/>
    <xf numFmtId="3" fontId="52" fillId="0" borderId="35" xfId="0" applyNumberFormat="1" applyFont="1" applyBorder="1" applyAlignment="1">
      <alignment horizontal="center" wrapText="1"/>
    </xf>
    <xf numFmtId="0" fontId="50" fillId="44" borderId="1" xfId="0" applyFont="1" applyFill="1" applyBorder="1" applyAlignment="1">
      <alignment horizontal="center" wrapText="1"/>
    </xf>
    <xf numFmtId="0" fontId="50" fillId="44" borderId="13" xfId="0" applyFont="1" applyFill="1" applyBorder="1" applyAlignment="1">
      <alignment horizontal="center" wrapText="1"/>
    </xf>
    <xf numFmtId="0" fontId="50" fillId="44" borderId="2" xfId="0" applyFont="1" applyFill="1" applyBorder="1" applyAlignment="1">
      <alignment horizontal="center" wrapText="1"/>
    </xf>
    <xf numFmtId="0" fontId="55" fillId="44" borderId="1" xfId="0" applyFont="1" applyFill="1" applyBorder="1" applyAlignment="1">
      <alignment horizontal="center" wrapText="1"/>
    </xf>
    <xf numFmtId="0" fontId="55" fillId="44" borderId="13" xfId="0" applyFont="1" applyFill="1" applyBorder="1" applyAlignment="1">
      <alignment horizontal="center" wrapText="1"/>
    </xf>
    <xf numFmtId="0" fontId="55" fillId="44" borderId="2" xfId="0" applyFont="1" applyFill="1" applyBorder="1" applyAlignment="1">
      <alignment horizontal="center" wrapText="1"/>
    </xf>
    <xf numFmtId="0" fontId="52" fillId="0" borderId="35" xfId="0" quotePrefix="1" applyFont="1" applyBorder="1" applyAlignment="1">
      <alignment horizontal="center"/>
    </xf>
    <xf numFmtId="0" fontId="52" fillId="0" borderId="35" xfId="0" applyFont="1" applyBorder="1" applyAlignment="1">
      <alignment horizontal="center" wrapText="1"/>
    </xf>
    <xf numFmtId="0" fontId="0" fillId="17" borderId="0" xfId="0" applyFill="1" applyAlignment="1" applyProtection="1">
      <alignment horizontal="center"/>
      <protection locked="0"/>
    </xf>
    <xf numFmtId="0" fontId="55" fillId="44" borderId="7" xfId="0" applyFont="1" applyFill="1" applyBorder="1" applyAlignment="1">
      <alignment horizontal="center"/>
    </xf>
    <xf numFmtId="0" fontId="55" fillId="44" borderId="0" xfId="0" applyFont="1" applyFill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50" fillId="0" borderId="0" xfId="0" applyFont="1" applyAlignment="1">
      <alignment horizontal="center"/>
    </xf>
    <xf numFmtId="0" fontId="2" fillId="0" borderId="35" xfId="0" applyFont="1" applyBorder="1" applyAlignment="1">
      <alignment horizontal="left" wrapText="1"/>
    </xf>
    <xf numFmtId="0" fontId="2" fillId="44" borderId="33" xfId="0" applyFont="1" applyFill="1" applyBorder="1" applyAlignment="1">
      <alignment horizontal="center"/>
    </xf>
    <xf numFmtId="0" fontId="2" fillId="44" borderId="13" xfId="0" applyFont="1" applyFill="1" applyBorder="1" applyAlignment="1">
      <alignment horizontal="center"/>
    </xf>
    <xf numFmtId="0" fontId="2" fillId="44" borderId="3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4" borderId="1" xfId="0" applyFont="1" applyFill="1" applyBorder="1" applyAlignment="1">
      <alignment horizontal="center"/>
    </xf>
    <xf numFmtId="0" fontId="2" fillId="44" borderId="2" xfId="0" applyFont="1" applyFill="1" applyBorder="1" applyAlignment="1">
      <alignment horizontal="center"/>
    </xf>
    <xf numFmtId="0" fontId="66" fillId="0" borderId="0" xfId="0" applyFont="1" applyFill="1" applyAlignment="1">
      <alignment horizontal="center"/>
    </xf>
  </cellXfs>
  <cellStyles count="72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" xfId="7" builtinId="27"/>
    <cellStyle name="Bad 2" xfId="36" xr:uid="{00000000-0005-0000-0000-000019000000}"/>
    <cellStyle name="Calculation 2" xfId="37" xr:uid="{00000000-0005-0000-0000-00001A000000}"/>
    <cellStyle name="Calculation 3" xfId="62" xr:uid="{00000000-0005-0000-0000-00001B000000}"/>
    <cellStyle name="Calculation 4" xfId="64" xr:uid="{00000000-0005-0000-0000-00001C000000}"/>
    <cellStyle name="Check Cell 2" xfId="38" xr:uid="{00000000-0005-0000-0000-00001D000000}"/>
    <cellStyle name="Comma" xfId="1" builtinId="3"/>
    <cellStyle name="Comma [0]" xfId="4" builtinId="6"/>
    <cellStyle name="Comma [0] 2" xfId="40" xr:uid="{00000000-0005-0000-0000-000020000000}"/>
    <cellStyle name="Comma 2" xfId="41" xr:uid="{00000000-0005-0000-0000-000021000000}"/>
    <cellStyle name="Comma 3" xfId="39" xr:uid="{00000000-0005-0000-0000-000022000000}"/>
    <cellStyle name="Comma 4" xfId="63" xr:uid="{00000000-0005-0000-0000-000023000000}"/>
    <cellStyle name="Comma 5" xfId="61" xr:uid="{00000000-0005-0000-0000-000024000000}"/>
    <cellStyle name="Comma 6" xfId="65" xr:uid="{00000000-0005-0000-0000-000025000000}"/>
    <cellStyle name="Currency" xfId="3" builtinId="4"/>
    <cellStyle name="Currency 2" xfId="9" xr:uid="{00000000-0005-0000-0000-000027000000}"/>
    <cellStyle name="Currency 3" xfId="42" xr:uid="{00000000-0005-0000-0000-000028000000}"/>
    <cellStyle name="Explanatory Text 2" xfId="43" xr:uid="{00000000-0005-0000-0000-000029000000}"/>
    <cellStyle name="Good" xfId="6" builtinId="26"/>
    <cellStyle name="Good 2" xfId="44" xr:uid="{00000000-0005-0000-0000-00002B000000}"/>
    <cellStyle name="Heading 1 2" xfId="45" xr:uid="{00000000-0005-0000-0000-00002C000000}"/>
    <cellStyle name="Heading 2 2" xfId="46" xr:uid="{00000000-0005-0000-0000-00002D000000}"/>
    <cellStyle name="Heading 3 2" xfId="47" xr:uid="{00000000-0005-0000-0000-00002E000000}"/>
    <cellStyle name="Heading 4 2" xfId="48" xr:uid="{00000000-0005-0000-0000-00002F000000}"/>
    <cellStyle name="Hyperlink" xfId="5" builtinId="8"/>
    <cellStyle name="Input 2" xfId="49" xr:uid="{00000000-0005-0000-0000-000031000000}"/>
    <cellStyle name="Input 3" xfId="60" xr:uid="{00000000-0005-0000-0000-000032000000}"/>
    <cellStyle name="Input 4" xfId="70" xr:uid="{00000000-0005-0000-0000-000033000000}"/>
    <cellStyle name="Linked Cell 2" xfId="50" xr:uid="{00000000-0005-0000-0000-000034000000}"/>
    <cellStyle name="Neutral" xfId="71" builtinId="28"/>
    <cellStyle name="Neutral 2" xfId="51" xr:uid="{00000000-0005-0000-0000-000036000000}"/>
    <cellStyle name="Normal" xfId="0" builtinId="0"/>
    <cellStyle name="Normal 2" xfId="8" xr:uid="{00000000-0005-0000-0000-000038000000}"/>
    <cellStyle name="Normal 2 2" xfId="59" xr:uid="{00000000-0005-0000-0000-000039000000}"/>
    <cellStyle name="Normal 3" xfId="11" xr:uid="{00000000-0005-0000-0000-00003A000000}"/>
    <cellStyle name="Normal_Project List" xfId="10" xr:uid="{00000000-0005-0000-0000-00003B000000}"/>
    <cellStyle name="Note 2" xfId="58" xr:uid="{00000000-0005-0000-0000-00003C000000}"/>
    <cellStyle name="Note 2 2" xfId="69" xr:uid="{00000000-0005-0000-0000-00003D000000}"/>
    <cellStyle name="Note 3" xfId="52" xr:uid="{00000000-0005-0000-0000-00003E000000}"/>
    <cellStyle name="Note 4" xfId="66" xr:uid="{00000000-0005-0000-0000-00003F000000}"/>
    <cellStyle name="Output 2" xfId="53" xr:uid="{00000000-0005-0000-0000-000040000000}"/>
    <cellStyle name="Output 3" xfId="67" xr:uid="{00000000-0005-0000-0000-000041000000}"/>
    <cellStyle name="Percent" xfId="2" builtinId="5"/>
    <cellStyle name="Percent 2" xfId="54" xr:uid="{00000000-0005-0000-0000-000043000000}"/>
    <cellStyle name="Title 2" xfId="55" xr:uid="{00000000-0005-0000-0000-000044000000}"/>
    <cellStyle name="Total 2" xfId="56" xr:uid="{00000000-0005-0000-0000-000045000000}"/>
    <cellStyle name="Total 3" xfId="68" xr:uid="{00000000-0005-0000-0000-000046000000}"/>
    <cellStyle name="Warning Text 2" xfId="57" xr:uid="{00000000-0005-0000-0000-00004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cdavis365-my.sharepoint.com/Budget%2016-17/FY16-17%20Commitments/Commitment%20List%20FY%2016-17%20working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Budget\Rate%20and%20Recharge\FY23-24\APPROVED%20HANS_FY%202023-24%20Rate%20and%20Recharge%20Template.AC%20appr%204-18-23.xlsx" TargetMode="External"/><Relationship Id="rId1" Type="http://schemas.openxmlformats.org/officeDocument/2006/relationships/externalLinkPath" Target="/Budget/Rate%20and%20Recharge/FY23-24/APPROVED%20HANS_FY%202023-24%20Rate%20and%20Recharge%20Template.AC%20appr%204-18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eport-Summary 14-15"/>
      <sheetName val="Ongoing Commitments"/>
      <sheetName val="LISTS"/>
      <sheetName val="FY 16-17 Budget Call"/>
      <sheetName val="FY2015-16 Commitment comparison"/>
      <sheetName val="FY2016-17 Commitment"/>
      <sheetName val="FY16-17 Commitments scrub"/>
      <sheetName val="CBR Rates FY16-17 - May 2016"/>
      <sheetName val="FY 16-17 Budget Call scrub"/>
      <sheetName val="Temp Sal and Benefits"/>
      <sheetName val="Org Check list tie out"/>
      <sheetName val="temp commit sched 1"/>
      <sheetName val="funds available reconciliation"/>
      <sheetName val="unit code check"/>
      <sheetName val="SWYF FY 16-17 commitments"/>
      <sheetName val="source codes"/>
      <sheetName val="Funds Avail Funded - Unfunded"/>
      <sheetName val="Sheet1"/>
      <sheetName val="Commitment List"/>
      <sheetName val="FY 17-18 Budget Call forms"/>
      <sheetName val="FY16-17 BC Commitments"/>
      <sheetName val="Reflected on Sch 1"/>
      <sheetName val="Pivot Report Status Summary"/>
      <sheetName val="Pivot Report Status Pending"/>
      <sheetName val="Pivot Report Status by Source"/>
      <sheetName val="Pivot Report Status Sum trends"/>
      <sheetName val="Pivot Report - Pending En Route"/>
      <sheetName val="Pivot Report - Fund check"/>
      <sheetName val="Pivot report by groups | year"/>
      <sheetName val="Pivot report by groups | source"/>
      <sheetName val="Pivot Report by groups | unit"/>
      <sheetName val="Pivot Report by unit |  fund"/>
      <sheetName val="Pivot Report Unit | startup"/>
      <sheetName val="Pivot report unit | desc | acct"/>
      <sheetName val="Pivot Report unit | posting"/>
      <sheetName val="$100K check"/>
      <sheetName val="Temp Commits &gt;$100K FY16-17"/>
      <sheetName val="Temp Commits FY15-16 onwards"/>
      <sheetName val="Temp Commits FY15-16 &amp; FY16-17"/>
      <sheetName val="Temp Commits &gt;$100K FY15-16"/>
      <sheetName val="Changes from 10.2.15 to 11.9.15"/>
      <sheetName val="Changes from 10.2.15 to 5.6.16"/>
      <sheetName val="YFC"/>
      <sheetName val="Strategic Initiatives and APSI"/>
      <sheetName val="Outstanding Documents"/>
      <sheetName val="Unit 4 year projection"/>
      <sheetName val="Name Lookup"/>
      <sheetName val="Commitment List FY 16-17 work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ummary"/>
      <sheetName val="Rate summary"/>
      <sheetName val="Productive Hours"/>
      <sheetName val="Service cost per Hour"/>
      <sheetName val="Salary &amp; Benefits"/>
      <sheetName val="Depreciation"/>
      <sheetName val="Project List"/>
      <sheetName val="Resource Pool"/>
      <sheetName val="Res S&amp;E, equipment"/>
      <sheetName val="Res Staffing"/>
      <sheetName val="Personnel"/>
      <sheetName val="Function Costing"/>
      <sheetName val="Staffing LIst"/>
      <sheetName val="Res Productive"/>
      <sheetName val="Cultural"/>
      <sheetName val="GAEL CALCULATION"/>
      <sheetName val="Feed Staffing"/>
      <sheetName val="Feed S&amp;E"/>
      <sheetName val="Check figure"/>
      <sheetName val="Password"/>
      <sheetName val="Budget to Actual 21-22"/>
      <sheetName val="Projected B2A 22-23"/>
      <sheetName val="CBR"/>
      <sheetName val="TitleCode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A1" t="str">
            <v>Title Code</v>
          </cell>
          <cell r="B1" t="str">
            <v>Title Name</v>
          </cell>
          <cell r="C1" t="str">
            <v>Contract</v>
          </cell>
        </row>
        <row r="2">
          <cell r="A2">
            <v>5044</v>
          </cell>
          <cell r="B2" t="str">
            <v>SKLD CRAFTS TRADES SUPV 2</v>
          </cell>
          <cell r="C2">
            <v>99</v>
          </cell>
        </row>
        <row r="3">
          <cell r="A3">
            <v>5116</v>
          </cell>
          <cell r="B3" t="str">
            <v>CUSTODIAN SR</v>
          </cell>
          <cell r="C3" t="str">
            <v>SX</v>
          </cell>
        </row>
        <row r="4">
          <cell r="A4">
            <v>5943</v>
          </cell>
          <cell r="B4" t="str">
            <v>AGRICULTURE MGR 1</v>
          </cell>
          <cell r="C4">
            <v>99</v>
          </cell>
        </row>
        <row r="5">
          <cell r="A5">
            <v>8148</v>
          </cell>
          <cell r="B5" t="str">
            <v>FARM MAINT WORKER SR</v>
          </cell>
          <cell r="C5" t="str">
            <v>SX</v>
          </cell>
        </row>
        <row r="6">
          <cell r="A6">
            <v>8149</v>
          </cell>
          <cell r="B6" t="str">
            <v>FARM MAINT WORKER</v>
          </cell>
          <cell r="C6" t="str">
            <v>SX</v>
          </cell>
        </row>
        <row r="7">
          <cell r="A7">
            <v>8212</v>
          </cell>
          <cell r="B7" t="str">
            <v>BLDG MAINT WORKER SR</v>
          </cell>
          <cell r="C7" t="str">
            <v>SX</v>
          </cell>
        </row>
        <row r="8">
          <cell r="A8">
            <v>8213</v>
          </cell>
          <cell r="B8" t="str">
            <v>BLDG MAINT WORKER</v>
          </cell>
          <cell r="C8" t="str">
            <v>SX</v>
          </cell>
        </row>
        <row r="9">
          <cell r="A9">
            <v>8522</v>
          </cell>
          <cell r="B9" t="str">
            <v>FARM MACH MECH SR</v>
          </cell>
          <cell r="C9" t="str">
            <v>SX</v>
          </cell>
        </row>
        <row r="10">
          <cell r="A10">
            <v>8523</v>
          </cell>
          <cell r="B10" t="str">
            <v>FARM MACH MECH</v>
          </cell>
          <cell r="C10" t="str">
            <v>SX</v>
          </cell>
        </row>
        <row r="11">
          <cell r="A11">
            <v>8524</v>
          </cell>
          <cell r="B11" t="str">
            <v>FARM MACH MECH AST</v>
          </cell>
          <cell r="C11" t="str">
            <v>SX</v>
          </cell>
        </row>
        <row r="12">
          <cell r="A12">
            <v>8540</v>
          </cell>
          <cell r="B12" t="str">
            <v>AGRICULTURAL TCHN PRN</v>
          </cell>
          <cell r="C12" t="str">
            <v>SX</v>
          </cell>
        </row>
        <row r="13">
          <cell r="A13">
            <v>8541</v>
          </cell>
          <cell r="B13" t="str">
            <v>AGRICULTURAL TCHN SR</v>
          </cell>
          <cell r="C13" t="str">
            <v>SX</v>
          </cell>
        </row>
        <row r="14">
          <cell r="A14">
            <v>8542</v>
          </cell>
          <cell r="B14" t="str">
            <v>AGRICULTURAL TCHN</v>
          </cell>
          <cell r="C14" t="str">
            <v>SX</v>
          </cell>
        </row>
        <row r="15">
          <cell r="A15">
            <v>8543</v>
          </cell>
          <cell r="B15" t="str">
            <v>FARM LABORER</v>
          </cell>
          <cell r="C15" t="str">
            <v>SX</v>
          </cell>
        </row>
        <row r="16">
          <cell r="A16">
            <v>8544</v>
          </cell>
          <cell r="B16" t="str">
            <v>FARM SEASONAL WORKER PD</v>
          </cell>
          <cell r="C16" t="str">
            <v>SX</v>
          </cell>
        </row>
        <row r="17">
          <cell r="A17">
            <v>8878</v>
          </cell>
          <cell r="B17" t="str">
            <v>AGRICULTURE SUPV 2</v>
          </cell>
          <cell r="C17">
            <v>99</v>
          </cell>
        </row>
        <row r="18">
          <cell r="A18">
            <v>8879</v>
          </cell>
          <cell r="B18" t="str">
            <v>AGRICULTURE SUPV 1</v>
          </cell>
          <cell r="C18">
            <v>99</v>
          </cell>
        </row>
        <row r="19">
          <cell r="A19">
            <v>9536</v>
          </cell>
          <cell r="B19" t="str">
            <v>ANML HEALTH TCHN 2</v>
          </cell>
          <cell r="C19" t="str">
            <v>TX</v>
          </cell>
        </row>
        <row r="20">
          <cell r="A20">
            <v>9606</v>
          </cell>
          <cell r="B20" t="str">
            <v>LAB HELPER</v>
          </cell>
          <cell r="C20" t="str">
            <v>SX</v>
          </cell>
        </row>
        <row r="21">
          <cell r="A21">
            <v>9613</v>
          </cell>
          <cell r="B21" t="str">
            <v>SRA 1</v>
          </cell>
          <cell r="C21" t="str">
            <v>RX</v>
          </cell>
        </row>
        <row r="22">
          <cell r="A22">
            <v>9617</v>
          </cell>
          <cell r="B22" t="str">
            <v>SRA 2 NEX</v>
          </cell>
          <cell r="C22" t="str">
            <v>RX</v>
          </cell>
        </row>
      </sheetData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ucanr.org/sites/recharge/Step_by_Step_Instructions/Plan_for_a_New_Rate/Step_3__Develop_the_Rate/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164"/>
  <sheetViews>
    <sheetView showGridLines="0" zoomScale="90" zoomScaleNormal="90" workbookViewId="0">
      <pane ySplit="4" topLeftCell="A5" activePane="bottomLeft" state="frozen"/>
      <selection pane="bottomLeft" activeCell="E12" sqref="E12"/>
    </sheetView>
  </sheetViews>
  <sheetFormatPr defaultRowHeight="15" outlineLevelRow="1"/>
  <cols>
    <col min="1" max="1" width="32.140625" customWidth="1"/>
    <col min="2" max="2" width="12.7109375" customWidth="1"/>
    <col min="3" max="3" width="15.7109375" customWidth="1"/>
    <col min="4" max="4" width="20.7109375" customWidth="1"/>
    <col min="5" max="5" width="21.140625" customWidth="1"/>
    <col min="6" max="6" width="18.140625" bestFit="1" customWidth="1"/>
    <col min="7" max="7" width="17.85546875" customWidth="1"/>
    <col min="8" max="8" width="21.140625" customWidth="1"/>
    <col min="9" max="10" width="11.28515625" customWidth="1"/>
    <col min="11" max="11" width="12.7109375" style="167" customWidth="1"/>
    <col min="12" max="13" width="11.28515625" style="167" customWidth="1"/>
    <col min="14" max="25" width="8.85546875" style="167"/>
  </cols>
  <sheetData>
    <row r="1" spans="1:11" ht="15.75">
      <c r="A1" s="644" t="s">
        <v>124</v>
      </c>
      <c r="B1" s="644"/>
      <c r="C1" s="644"/>
      <c r="D1" s="644"/>
      <c r="E1" s="644"/>
      <c r="F1" s="644"/>
      <c r="G1" s="644"/>
      <c r="H1" s="644"/>
      <c r="K1" s="581" t="s">
        <v>526</v>
      </c>
    </row>
    <row r="2" spans="1:11" ht="15.75">
      <c r="A2" s="644" t="s">
        <v>365</v>
      </c>
      <c r="B2" s="644"/>
      <c r="C2" s="644"/>
      <c r="D2" s="644"/>
      <c r="E2" s="644"/>
      <c r="F2" s="644"/>
      <c r="G2" s="644"/>
      <c r="H2" s="644"/>
      <c r="K2" t="s">
        <v>541</v>
      </c>
    </row>
    <row r="3" spans="1:11" ht="15.75">
      <c r="A3" s="335"/>
      <c r="B3" s="335"/>
      <c r="C3" s="645" t="s">
        <v>431</v>
      </c>
      <c r="D3" s="645"/>
      <c r="E3" s="645"/>
      <c r="F3" s="645"/>
      <c r="H3" s="566" t="s">
        <v>523</v>
      </c>
      <c r="K3" t="s">
        <v>549</v>
      </c>
    </row>
    <row r="4" spans="1:11" ht="15.75">
      <c r="A4" s="642" t="s">
        <v>568</v>
      </c>
      <c r="B4" s="642"/>
      <c r="C4" s="642"/>
      <c r="D4" s="642"/>
      <c r="E4" s="642"/>
      <c r="F4" s="642"/>
      <c r="G4" s="642"/>
      <c r="H4" s="642"/>
      <c r="K4" t="s">
        <v>548</v>
      </c>
    </row>
    <row r="5" spans="1:11">
      <c r="K5"/>
    </row>
    <row r="7" spans="1:11">
      <c r="A7" s="294"/>
      <c r="B7" s="294"/>
      <c r="C7" s="295" t="s">
        <v>342</v>
      </c>
      <c r="D7" s="295" t="s">
        <v>343</v>
      </c>
      <c r="E7" s="295" t="s">
        <v>489</v>
      </c>
      <c r="F7" s="295" t="s">
        <v>346</v>
      </c>
      <c r="G7" s="295"/>
      <c r="H7" s="295" t="s">
        <v>490</v>
      </c>
    </row>
    <row r="8" spans="1:11">
      <c r="A8" s="643" t="s">
        <v>442</v>
      </c>
      <c r="B8" s="643"/>
      <c r="C8" s="643"/>
      <c r="D8" s="643"/>
      <c r="E8" s="643"/>
      <c r="F8" s="643"/>
      <c r="G8" s="643"/>
      <c r="H8" s="643"/>
    </row>
    <row r="9" spans="1:11" ht="30">
      <c r="A9" s="333" t="s">
        <v>349</v>
      </c>
      <c r="B9" s="334" t="s">
        <v>1</v>
      </c>
      <c r="C9" s="334" t="s">
        <v>345</v>
      </c>
      <c r="D9" s="334" t="s">
        <v>123</v>
      </c>
      <c r="E9" s="334" t="s">
        <v>347</v>
      </c>
      <c r="F9" s="334" t="s">
        <v>443</v>
      </c>
      <c r="G9" s="334" t="s">
        <v>351</v>
      </c>
      <c r="H9" s="334" t="s">
        <v>414</v>
      </c>
    </row>
    <row r="10" spans="1:11">
      <c r="A10" s="309" t="str">
        <f>'Productive Hours'!Q4</f>
        <v>Ex: Per Acre</v>
      </c>
      <c r="B10" s="318">
        <f>'Rate summary'!D24</f>
        <v>0</v>
      </c>
      <c r="C10" s="304">
        <f>'Rate summary'!E24</f>
        <v>0</v>
      </c>
      <c r="D10" s="304">
        <f>'Rate summary'!E53+'Rate summary'!E59</f>
        <v>0</v>
      </c>
      <c r="E10" s="304">
        <f>C10+D10</f>
        <v>0</v>
      </c>
      <c r="F10" s="318">
        <f>'Rate summary'!E56</f>
        <v>0</v>
      </c>
      <c r="G10" s="447"/>
      <c r="H10" s="330">
        <f>IFERROR(E10/F10,0)</f>
        <v>0</v>
      </c>
    </row>
    <row r="11" spans="1:11">
      <c r="A11" s="309" t="str">
        <f>'Productive Hours'!Q5</f>
        <v>Ex: Ground Prep Acre</v>
      </c>
      <c r="B11" s="318">
        <f>'Rate summary'!J24</f>
        <v>0</v>
      </c>
      <c r="C11" s="304">
        <f>'Rate summary'!K24</f>
        <v>0</v>
      </c>
      <c r="D11" s="304">
        <f>'Rate summary'!K53+'Rate summary'!K59</f>
        <v>0</v>
      </c>
      <c r="E11" s="304">
        <f t="shared" ref="E11:E12" si="0">C11+D11</f>
        <v>0</v>
      </c>
      <c r="F11" s="318">
        <f>'Rate summary'!K56</f>
        <v>0</v>
      </c>
      <c r="G11" s="447"/>
      <c r="H11" s="330">
        <f t="shared" ref="H11:H15" si="1">IFERROR(E11/F11,0)</f>
        <v>0</v>
      </c>
    </row>
    <row r="12" spans="1:11">
      <c r="A12" s="309" t="str">
        <f>'Productive Hours'!Q6</f>
        <v>Ex: Direct Research</v>
      </c>
      <c r="B12" s="318">
        <f>'Rate summary'!P24</f>
        <v>0</v>
      </c>
      <c r="C12" s="304">
        <f>'Rate summary'!Q24</f>
        <v>0</v>
      </c>
      <c r="D12" s="304">
        <f>'Rate summary'!Q53+'Rate summary'!Q59</f>
        <v>0</v>
      </c>
      <c r="E12" s="304">
        <f t="shared" si="0"/>
        <v>0</v>
      </c>
      <c r="F12" s="318">
        <f>'Rate summary'!Q56</f>
        <v>0</v>
      </c>
      <c r="G12" s="447"/>
      <c r="H12" s="330">
        <f t="shared" si="1"/>
        <v>0</v>
      </c>
    </row>
    <row r="13" spans="1:11">
      <c r="A13" s="309" t="str">
        <f>'Productive Hours'!Q7</f>
        <v>Ex: Other Type</v>
      </c>
      <c r="B13" s="318">
        <f>'Rate summary'!V24</f>
        <v>0</v>
      </c>
      <c r="C13" s="304">
        <f>'Rate summary'!W24</f>
        <v>0</v>
      </c>
      <c r="D13" s="304">
        <f>'Rate summary'!W53+'Rate summary'!W59</f>
        <v>0</v>
      </c>
      <c r="E13" s="304">
        <f t="shared" ref="E13:E15" si="2">C13+D13</f>
        <v>0</v>
      </c>
      <c r="F13" s="318">
        <f>'Rate summary'!W56</f>
        <v>0</v>
      </c>
      <c r="G13" s="447"/>
      <c r="H13" s="330">
        <f t="shared" si="1"/>
        <v>0</v>
      </c>
    </row>
    <row r="14" spans="1:11">
      <c r="A14" s="309" t="str">
        <f>'Productive Hours'!Q8</f>
        <v>Ex: Other Type 1</v>
      </c>
      <c r="B14" s="318">
        <f>'Rate summary'!AB24</f>
        <v>0</v>
      </c>
      <c r="C14" s="304">
        <f>'Rate summary'!AC24</f>
        <v>0</v>
      </c>
      <c r="D14" s="304">
        <f>'Rate summary'!AC53+'Rate summary'!AC59</f>
        <v>0</v>
      </c>
      <c r="E14" s="304">
        <f t="shared" si="2"/>
        <v>0</v>
      </c>
      <c r="F14" s="318">
        <f>'Rate summary'!AC56</f>
        <v>0</v>
      </c>
      <c r="G14" s="447"/>
      <c r="H14" s="330">
        <f t="shared" si="1"/>
        <v>0</v>
      </c>
    </row>
    <row r="15" spans="1:11">
      <c r="A15" s="309" t="str">
        <f>'Productive Hours'!Q9</f>
        <v>Ex: Other Type 2</v>
      </c>
      <c r="B15" s="318">
        <f>'Rate summary'!AH24</f>
        <v>0</v>
      </c>
      <c r="C15" s="304">
        <f>'Rate summary'!AI24</f>
        <v>0</v>
      </c>
      <c r="D15" s="304">
        <f>'Rate summary'!AI53+'Rate summary'!AI59</f>
        <v>0</v>
      </c>
      <c r="E15" s="304">
        <f t="shared" si="2"/>
        <v>0</v>
      </c>
      <c r="F15" s="318">
        <f>'Rate summary'!AI56</f>
        <v>0</v>
      </c>
      <c r="G15" s="447"/>
      <c r="H15" s="330">
        <f t="shared" si="1"/>
        <v>0</v>
      </c>
    </row>
    <row r="16" spans="1:11">
      <c r="G16" s="21"/>
    </row>
    <row r="17" spans="1:8" ht="15.75" thickBot="1">
      <c r="A17" s="448" t="s">
        <v>25</v>
      </c>
      <c r="B17" s="449">
        <f>SUM(B10:B15)</f>
        <v>0</v>
      </c>
      <c r="C17" s="450">
        <f>SUM(C10:C15)</f>
        <v>0</v>
      </c>
      <c r="D17" s="450">
        <f>SUM(D10:D15)</f>
        <v>0</v>
      </c>
      <c r="E17" s="450">
        <f>SUM(E10:E15)</f>
        <v>0</v>
      </c>
      <c r="F17" s="451"/>
      <c r="G17" s="452"/>
      <c r="H17" s="452"/>
    </row>
    <row r="18" spans="1:8" ht="15.75" thickTop="1"/>
    <row r="19" spans="1:8">
      <c r="A19" s="294"/>
      <c r="B19" s="294"/>
      <c r="C19" s="295" t="s">
        <v>342</v>
      </c>
      <c r="D19" s="295" t="s">
        <v>343</v>
      </c>
      <c r="E19" s="295"/>
      <c r="F19" s="295" t="s">
        <v>492</v>
      </c>
      <c r="G19" s="297" t="s">
        <v>554</v>
      </c>
      <c r="H19" s="295" t="s">
        <v>555</v>
      </c>
    </row>
    <row r="20" spans="1:8">
      <c r="A20" s="643" t="s">
        <v>491</v>
      </c>
      <c r="B20" s="643"/>
      <c r="C20" s="643"/>
      <c r="D20" s="643"/>
      <c r="E20" s="643"/>
      <c r="F20" s="643"/>
      <c r="G20" s="643"/>
      <c r="H20" s="643"/>
    </row>
    <row r="21" spans="1:8" ht="30">
      <c r="A21" s="453" t="s">
        <v>349</v>
      </c>
      <c r="B21" s="454"/>
      <c r="C21" s="334" t="s">
        <v>352</v>
      </c>
      <c r="D21" s="334" t="s">
        <v>443</v>
      </c>
      <c r="E21" s="334" t="s">
        <v>351</v>
      </c>
      <c r="F21" s="334" t="s">
        <v>348</v>
      </c>
      <c r="G21" s="334" t="s">
        <v>444</v>
      </c>
      <c r="H21" s="334" t="s">
        <v>386</v>
      </c>
    </row>
    <row r="22" spans="1:8">
      <c r="A22" s="309" t="str">
        <f t="shared" ref="A22:A27" si="3">A10</f>
        <v>Ex: Per Acre</v>
      </c>
      <c r="B22" s="309"/>
      <c r="C22" s="330">
        <f t="shared" ref="C22:C27" si="4">H10</f>
        <v>0</v>
      </c>
      <c r="D22" s="318">
        <f t="shared" ref="D22:D27" si="5">F10</f>
        <v>0</v>
      </c>
      <c r="E22" s="318">
        <f>$G$10</f>
        <v>0</v>
      </c>
      <c r="F22" s="304">
        <f t="shared" ref="F22:F23" si="6">C22*D22</f>
        <v>0</v>
      </c>
      <c r="G22" s="522">
        <f>F22-H22</f>
        <v>0</v>
      </c>
      <c r="H22" s="588">
        <f>'Project List'!AC38</f>
        <v>0</v>
      </c>
    </row>
    <row r="23" spans="1:8">
      <c r="A23" s="309" t="str">
        <f t="shared" si="3"/>
        <v>Ex: Ground Prep Acre</v>
      </c>
      <c r="B23" s="309"/>
      <c r="C23" s="330">
        <f t="shared" si="4"/>
        <v>0</v>
      </c>
      <c r="D23" s="318">
        <f t="shared" si="5"/>
        <v>0</v>
      </c>
      <c r="E23" s="318">
        <f>$G$11</f>
        <v>0</v>
      </c>
      <c r="F23" s="304">
        <f t="shared" si="6"/>
        <v>0</v>
      </c>
      <c r="G23" s="522">
        <f t="shared" ref="G23:G27" si="7">F23-H23</f>
        <v>0</v>
      </c>
      <c r="H23" s="588">
        <f>'Project List'!AD38</f>
        <v>0</v>
      </c>
    </row>
    <row r="24" spans="1:8">
      <c r="A24" s="309" t="str">
        <f t="shared" si="3"/>
        <v>Ex: Direct Research</v>
      </c>
      <c r="B24" s="309"/>
      <c r="C24" s="330">
        <f t="shared" si="4"/>
        <v>0</v>
      </c>
      <c r="D24" s="318">
        <f t="shared" si="5"/>
        <v>0</v>
      </c>
      <c r="E24" s="318">
        <f>G12</f>
        <v>0</v>
      </c>
      <c r="F24" s="304">
        <f>D24*C24</f>
        <v>0</v>
      </c>
      <c r="G24" s="522">
        <f t="shared" si="7"/>
        <v>0</v>
      </c>
      <c r="H24" s="588">
        <f>'Project List'!AE38</f>
        <v>0</v>
      </c>
    </row>
    <row r="25" spans="1:8">
      <c r="A25" s="309" t="str">
        <f t="shared" si="3"/>
        <v>Ex: Other Type</v>
      </c>
      <c r="B25" s="309"/>
      <c r="C25" s="330">
        <f t="shared" si="4"/>
        <v>0</v>
      </c>
      <c r="D25" s="318">
        <f t="shared" si="5"/>
        <v>0</v>
      </c>
      <c r="E25" s="318">
        <f>G13</f>
        <v>0</v>
      </c>
      <c r="F25" s="304">
        <f t="shared" ref="F25:F27" si="8">D25*C25</f>
        <v>0</v>
      </c>
      <c r="G25" s="522">
        <f t="shared" si="7"/>
        <v>0</v>
      </c>
      <c r="H25" s="588">
        <f>'Project List'!AF38</f>
        <v>0</v>
      </c>
    </row>
    <row r="26" spans="1:8">
      <c r="A26" s="309" t="str">
        <f t="shared" si="3"/>
        <v>Ex: Other Type 1</v>
      </c>
      <c r="B26" s="309"/>
      <c r="C26" s="330">
        <f t="shared" si="4"/>
        <v>0</v>
      </c>
      <c r="D26" s="318">
        <f t="shared" si="5"/>
        <v>0</v>
      </c>
      <c r="E26" s="318">
        <f>G14</f>
        <v>0</v>
      </c>
      <c r="F26" s="304">
        <f t="shared" si="8"/>
        <v>0</v>
      </c>
      <c r="G26" s="522">
        <f t="shared" si="7"/>
        <v>0</v>
      </c>
      <c r="H26" s="588">
        <f>'Project List'!AG38</f>
        <v>0</v>
      </c>
    </row>
    <row r="27" spans="1:8">
      <c r="A27" s="309" t="str">
        <f t="shared" si="3"/>
        <v>Ex: Other Type 2</v>
      </c>
      <c r="B27" s="309"/>
      <c r="C27" s="330">
        <f t="shared" si="4"/>
        <v>0</v>
      </c>
      <c r="D27" s="318">
        <f t="shared" si="5"/>
        <v>0</v>
      </c>
      <c r="E27" s="318">
        <f>G15</f>
        <v>0</v>
      </c>
      <c r="F27" s="304">
        <f t="shared" si="8"/>
        <v>0</v>
      </c>
      <c r="G27" s="522">
        <f t="shared" si="7"/>
        <v>0</v>
      </c>
      <c r="H27" s="588">
        <f>'Project List'!AH38</f>
        <v>0</v>
      </c>
    </row>
    <row r="29" spans="1:8" ht="15.75" thickBot="1">
      <c r="A29" s="448" t="s">
        <v>25</v>
      </c>
      <c r="B29" s="452"/>
      <c r="C29" s="452"/>
      <c r="D29" s="452"/>
      <c r="E29" s="452"/>
      <c r="F29" s="451">
        <f>SUM(F22:F27)</f>
        <v>0</v>
      </c>
      <c r="G29" s="451">
        <f t="shared" ref="G29:H29" si="9">SUM(G22:G27)</f>
        <v>0</v>
      </c>
      <c r="H29" s="451">
        <f t="shared" si="9"/>
        <v>0</v>
      </c>
    </row>
    <row r="30" spans="1:8" ht="15.75" thickTop="1"/>
    <row r="31" spans="1:8">
      <c r="F31" s="17"/>
    </row>
    <row r="32" spans="1:8">
      <c r="A32" s="12" t="s">
        <v>202</v>
      </c>
      <c r="B32" s="167"/>
      <c r="C32" s="167"/>
      <c r="E32" s="167"/>
      <c r="F32" s="167"/>
      <c r="G32" s="167"/>
      <c r="H32" s="167"/>
    </row>
    <row r="33" s="167" customFormat="1"/>
    <row r="34" s="167" customFormat="1"/>
    <row r="35" s="167" customFormat="1"/>
    <row r="36" s="167" customFormat="1"/>
    <row r="37" s="167" customFormat="1"/>
    <row r="38" s="167" customFormat="1"/>
    <row r="39" s="167" customFormat="1"/>
    <row r="40" s="167" customFormat="1"/>
    <row r="41" s="167" customFormat="1"/>
    <row r="42" s="167" customFormat="1"/>
    <row r="43" s="167" customFormat="1"/>
    <row r="44" s="167" customFormat="1"/>
    <row r="45" s="167" customFormat="1"/>
    <row r="46" s="167" customFormat="1"/>
    <row r="47" s="167" customFormat="1"/>
    <row r="48" s="167" customFormat="1"/>
    <row r="49" s="167" customFormat="1"/>
    <row r="50" s="167" customFormat="1"/>
    <row r="51" s="167" customFormat="1"/>
    <row r="52" s="167" customFormat="1"/>
    <row r="53" s="167" customFormat="1"/>
    <row r="54" s="167" customFormat="1"/>
    <row r="55" s="167" customFormat="1"/>
    <row r="56" s="167" customFormat="1"/>
    <row r="57" s="167" customFormat="1"/>
    <row r="58" s="167" customFormat="1"/>
    <row r="59" s="167" customFormat="1"/>
    <row r="60" s="167" customFormat="1"/>
    <row r="61" s="167" customFormat="1"/>
    <row r="62" s="167" customFormat="1"/>
    <row r="63" s="167" customFormat="1"/>
    <row r="64" s="167" customFormat="1"/>
    <row r="65" s="167" customFormat="1"/>
    <row r="66" s="167" customFormat="1"/>
    <row r="67" s="167" customFormat="1"/>
    <row r="68" s="167" customFormat="1"/>
    <row r="69" s="167" customFormat="1"/>
    <row r="70" s="167" customFormat="1"/>
    <row r="71" s="167" customFormat="1"/>
    <row r="72" s="167" customFormat="1"/>
    <row r="73" s="167" customFormat="1"/>
    <row r="74" s="167" customFormat="1"/>
    <row r="75" s="167" customFormat="1"/>
    <row r="76" s="167" customFormat="1"/>
    <row r="77" s="167" customFormat="1"/>
    <row r="78" s="167" customFormat="1"/>
    <row r="79" s="167" customFormat="1"/>
    <row r="80" s="167" customFormat="1"/>
    <row r="81" s="167" customFormat="1"/>
    <row r="82" s="167" customFormat="1"/>
    <row r="83" s="167" customFormat="1"/>
    <row r="84" s="167" customFormat="1"/>
    <row r="85" s="167" customFormat="1"/>
    <row r="86" s="167" customFormat="1"/>
    <row r="87" s="167" customFormat="1"/>
    <row r="88" s="167" customFormat="1"/>
    <row r="89" s="167" customFormat="1"/>
    <row r="90" s="167" customFormat="1"/>
    <row r="91" s="167" customFormat="1"/>
    <row r="92" s="167" customFormat="1"/>
    <row r="93" s="167" customFormat="1"/>
    <row r="94" s="167" customFormat="1"/>
    <row r="95" s="167" customFormat="1"/>
    <row r="96" s="167" customFormat="1"/>
    <row r="97" spans="1:8" s="167" customFormat="1"/>
    <row r="98" spans="1:8">
      <c r="A98" s="167"/>
      <c r="B98" s="167"/>
      <c r="C98" s="167"/>
      <c r="D98" s="167"/>
      <c r="E98" s="167"/>
      <c r="F98" s="167"/>
      <c r="G98" s="167"/>
      <c r="H98" s="167"/>
    </row>
    <row r="99" spans="1:8">
      <c r="A99" s="167"/>
      <c r="B99" s="167"/>
      <c r="C99" s="167"/>
      <c r="D99" s="167"/>
      <c r="E99" s="167"/>
      <c r="F99" s="167"/>
      <c r="G99" s="167"/>
      <c r="H99" s="167"/>
    </row>
    <row r="100" spans="1:8">
      <c r="A100" s="568" t="s">
        <v>431</v>
      </c>
    </row>
    <row r="101" spans="1:8">
      <c r="A101" s="567" t="s">
        <v>530</v>
      </c>
    </row>
    <row r="102" spans="1:8">
      <c r="A102" s="567" t="s">
        <v>441</v>
      </c>
    </row>
    <row r="103" spans="1:8">
      <c r="A103" s="567" t="s">
        <v>440</v>
      </c>
    </row>
    <row r="104" spans="1:8">
      <c r="A104" s="567" t="s">
        <v>434</v>
      </c>
    </row>
    <row r="105" spans="1:8">
      <c r="A105" s="567" t="s">
        <v>432</v>
      </c>
    </row>
    <row r="106" spans="1:8">
      <c r="A106" s="567" t="s">
        <v>430</v>
      </c>
    </row>
    <row r="107" spans="1:8">
      <c r="A107" s="584" t="s">
        <v>531</v>
      </c>
    </row>
    <row r="108" spans="1:8">
      <c r="A108" s="584" t="s">
        <v>532</v>
      </c>
    </row>
    <row r="109" spans="1:8">
      <c r="A109" s="567" t="s">
        <v>433</v>
      </c>
    </row>
    <row r="110" spans="1:8">
      <c r="A110" s="567" t="s">
        <v>524</v>
      </c>
    </row>
    <row r="111" spans="1:8">
      <c r="A111" s="567" t="s">
        <v>435</v>
      </c>
    </row>
    <row r="112" spans="1:8">
      <c r="A112" s="567" t="s">
        <v>436</v>
      </c>
    </row>
    <row r="113" spans="1:1">
      <c r="A113" s="567" t="s">
        <v>428</v>
      </c>
    </row>
    <row r="114" spans="1:1">
      <c r="A114" s="567" t="s">
        <v>525</v>
      </c>
    </row>
    <row r="115" spans="1:1">
      <c r="A115" s="567" t="s">
        <v>429</v>
      </c>
    </row>
    <row r="116" spans="1:1">
      <c r="A116" s="567" t="s">
        <v>527</v>
      </c>
    </row>
    <row r="117" spans="1:1">
      <c r="A117" s="567" t="s">
        <v>437</v>
      </c>
    </row>
    <row r="118" spans="1:1">
      <c r="A118" s="567" t="s">
        <v>439</v>
      </c>
    </row>
    <row r="119" spans="1:1">
      <c r="A119" s="567" t="s">
        <v>427</v>
      </c>
    </row>
    <row r="120" spans="1:1">
      <c r="A120" s="567" t="s">
        <v>438</v>
      </c>
    </row>
    <row r="121" spans="1:1">
      <c r="A121" s="567"/>
    </row>
    <row r="122" spans="1:1">
      <c r="A122" s="584"/>
    </row>
    <row r="123" spans="1:1">
      <c r="A123" s="584"/>
    </row>
    <row r="124" spans="1:1">
      <c r="A124" s="567"/>
    </row>
    <row r="154" spans="1:1">
      <c r="A154" s="583" t="s">
        <v>529</v>
      </c>
    </row>
    <row r="155" spans="1:1" outlineLevel="1">
      <c r="A155" s="582" t="s">
        <v>528</v>
      </c>
    </row>
    <row r="156" spans="1:1" outlineLevel="1">
      <c r="A156" s="582"/>
    </row>
    <row r="157" spans="1:1" outlineLevel="1"/>
    <row r="158" spans="1:1" outlineLevel="1"/>
    <row r="159" spans="1:1" outlineLevel="1"/>
    <row r="160" spans="1:1" outlineLevel="1"/>
    <row r="161" outlineLevel="1"/>
    <row r="162" outlineLevel="1"/>
    <row r="163" outlineLevel="1"/>
    <row r="164" outlineLevel="1"/>
  </sheetData>
  <protectedRanges>
    <protectedRange sqref="G10:G15 G22:G27 A32:A56 E31:H56 B33:D56 B32 D31 C31:C32" name="Data Input"/>
  </protectedRanges>
  <sortState xmlns:xlrd2="http://schemas.microsoft.com/office/spreadsheetml/2017/richdata2" ref="A101:A117">
    <sortCondition ref="A101:A117"/>
  </sortState>
  <mergeCells count="6">
    <mergeCell ref="A4:H4"/>
    <mergeCell ref="A8:H8"/>
    <mergeCell ref="A20:H20"/>
    <mergeCell ref="A1:H1"/>
    <mergeCell ref="A2:H2"/>
    <mergeCell ref="C3:F3"/>
  </mergeCells>
  <dataValidations count="6">
    <dataValidation allowBlank="1" showInputMessage="1" showErrorMessage="1" prompt="Provide projected Center portion of funding" sqref="G22:G27" xr:uid="{874B0150-361D-4DD9-AF45-164220207C18}"/>
    <dataValidation allowBlank="1" showInputMessage="1" showErrorMessage="1" prompt="Provide unit of measurement for appropriate rate" sqref="G10:G15" xr:uid="{117AE7D3-FF1A-4E0B-B466-05ACAB1C4B3B}"/>
    <dataValidation allowBlank="1" showInputMessage="1" showErrorMessage="1" prompt="In this column, provide projected Center portion of funding." sqref="G21" xr:uid="{4128DAEB-D4EB-4DAD-96EC-62584602D28A}"/>
    <dataValidation allowBlank="1" showInputMessage="1" showErrorMessage="1" prompt="In this column, provide unit of measurement for appropriate rate" sqref="G9" xr:uid="{A041D24C-928F-4049-A223-138C428C37DE}"/>
    <dataValidation type="list" allowBlank="1" showInputMessage="1" showErrorMessage="1" sqref="C3:F3" xr:uid="{839CB028-9910-4A56-BB9A-9DE5FE7F4389}">
      <formula1>$A$100:$A$124</formula1>
    </dataValidation>
    <dataValidation allowBlank="1" showInputMessage="1" showErrorMessage="1" prompt="Users manually overwrite PI/Customer Pays allocations based on user inputs in the Project List tab." sqref="H22 H23:H27" xr:uid="{61AC5D27-60B6-4A6B-89D3-CD0238BD7A9C}"/>
  </dataValidations>
  <hyperlinks>
    <hyperlink ref="H3" location="Summary!A100" display="Unit Not Listed in Dropdown? Add Here!" xr:uid="{03E14F27-7C76-4F58-844A-022EEEAA5A2A}"/>
  </hyperlinks>
  <pageMargins left="0.7" right="0.7" top="0.75" bottom="0.75" header="0.3" footer="0.3"/>
  <pageSetup scale="65" fitToHeight="0" orientation="portrait" r:id="rId1"/>
  <ignoredErrors>
    <ignoredError sqref="H25:H27 H22:H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1"/>
  <sheetViews>
    <sheetView workbookViewId="0"/>
  </sheetViews>
  <sheetFormatPr defaultRowHeight="15"/>
  <cols>
    <col min="1" max="1" width="21.42578125" bestFit="1" customWidth="1"/>
    <col min="2" max="2" width="40.7109375" customWidth="1"/>
    <col min="3" max="3" width="32.42578125" customWidth="1"/>
    <col min="4" max="4" width="10" bestFit="1" customWidth="1"/>
    <col min="6" max="6" width="0" hidden="1" customWidth="1"/>
    <col min="8" max="17" width="12.85546875" customWidth="1"/>
    <col min="18" max="18" width="12.42578125" bestFit="1" customWidth="1"/>
  </cols>
  <sheetData>
    <row r="1" spans="1:18">
      <c r="B1" t="s">
        <v>0</v>
      </c>
    </row>
    <row r="3" spans="1:18">
      <c r="H3" s="667" t="s">
        <v>13</v>
      </c>
      <c r="I3" s="667"/>
      <c r="J3" s="667"/>
      <c r="K3" s="667"/>
      <c r="L3" s="667"/>
      <c r="M3" s="667"/>
      <c r="N3" s="667"/>
      <c r="O3" s="667"/>
      <c r="P3" s="667"/>
      <c r="Q3" s="667"/>
    </row>
    <row r="4" spans="1:18">
      <c r="A4" t="s">
        <v>52</v>
      </c>
      <c r="B4" t="s">
        <v>2</v>
      </c>
      <c r="C4" t="s">
        <v>3</v>
      </c>
      <c r="D4" t="s">
        <v>6</v>
      </c>
      <c r="E4" t="s">
        <v>1</v>
      </c>
      <c r="G4" t="s">
        <v>105</v>
      </c>
      <c r="H4" t="str">
        <f>C32</f>
        <v>Pruning</v>
      </c>
      <c r="I4" t="str">
        <f>C33</f>
        <v>Triming</v>
      </c>
      <c r="J4" t="str">
        <f>C34</f>
        <v>Cropping</v>
      </c>
      <c r="K4" t="str">
        <f>C35</f>
        <v>Assist with Research</v>
      </c>
      <c r="L4" t="str">
        <f>C36</f>
        <v xml:space="preserve">Administering </v>
      </c>
      <c r="M4" t="str">
        <f>C37</f>
        <v>Managing ….</v>
      </c>
      <c r="N4">
        <f>C38</f>
        <v>0</v>
      </c>
      <c r="O4">
        <f>C39</f>
        <v>0</v>
      </c>
      <c r="P4">
        <f>C40</f>
        <v>0</v>
      </c>
      <c r="Q4">
        <f>C41</f>
        <v>0</v>
      </c>
      <c r="R4" s="2" t="s">
        <v>47</v>
      </c>
    </row>
    <row r="5" spans="1:18">
      <c r="A5" t="str">
        <f>'Resource Pool'!B5</f>
        <v>Personnel</v>
      </c>
      <c r="B5" s="5" t="str">
        <f>'Resource Pool'!C35</f>
        <v>ADAMS,WILLIAM L</v>
      </c>
      <c r="C5" t="str">
        <f>'Staffing LIst'!B2</f>
        <v>SR BLDG MAINT WORKER</v>
      </c>
      <c r="D5">
        <v>8212</v>
      </c>
      <c r="E5" s="1">
        <v>1</v>
      </c>
      <c r="G5" s="10">
        <f>'Resource Pool'!E5</f>
        <v>84350.5</v>
      </c>
      <c r="H5" s="19">
        <v>0.2</v>
      </c>
      <c r="I5" s="19"/>
      <c r="J5" s="19">
        <v>0.1</v>
      </c>
      <c r="K5" s="19">
        <v>0.2</v>
      </c>
      <c r="L5" s="19">
        <v>0.3</v>
      </c>
      <c r="M5" s="19">
        <v>0.2</v>
      </c>
      <c r="N5" s="19"/>
      <c r="O5" s="19"/>
      <c r="P5" s="19"/>
      <c r="Q5" s="19"/>
      <c r="R5" s="19">
        <f>SUM(H5:Q5)</f>
        <v>1</v>
      </c>
    </row>
    <row r="6" spans="1:18">
      <c r="A6" t="str">
        <f>'Resource Pool'!B6</f>
        <v>Personnel</v>
      </c>
      <c r="B6" s="5" t="str">
        <f>'Resource Pool'!C36</f>
        <v>ARREDONDO,VICTOR H</v>
      </c>
      <c r="C6" t="str">
        <f>'Staffing LIst'!B3</f>
        <v>SR CUSTODIAN</v>
      </c>
      <c r="D6">
        <v>5116</v>
      </c>
      <c r="E6" s="1">
        <v>0.7</v>
      </c>
      <c r="G6" s="10">
        <f>'Resource Pool'!E6</f>
        <v>45056.098749999997</v>
      </c>
      <c r="H6" s="19">
        <v>0.4</v>
      </c>
      <c r="I6" s="19">
        <v>0.3</v>
      </c>
      <c r="J6" s="19">
        <v>0.2</v>
      </c>
      <c r="K6" s="19">
        <v>0.1</v>
      </c>
      <c r="L6" s="19"/>
      <c r="M6" s="19"/>
      <c r="N6" s="19"/>
      <c r="O6" s="19"/>
      <c r="P6" s="19"/>
      <c r="Q6" s="19"/>
      <c r="R6" s="19">
        <f t="shared" ref="R6:R28" si="0">SUM(H6:Q6)</f>
        <v>0.99999999999999989</v>
      </c>
    </row>
    <row r="7" spans="1:18">
      <c r="A7" t="str">
        <f>'Resource Pool'!B7</f>
        <v>Personnel</v>
      </c>
      <c r="B7" s="5" t="str">
        <f>'Resource Pool'!C37</f>
        <v>DRISKILL,DEBRA L</v>
      </c>
      <c r="C7" t="str">
        <f>'Staffing LIst'!B4</f>
        <v>ADMIN OFFICER 4</v>
      </c>
      <c r="D7">
        <v>7378</v>
      </c>
      <c r="E7" s="1">
        <v>0.5</v>
      </c>
      <c r="G7" s="10">
        <f>'Resource Pool'!E7</f>
        <v>64954.255199399995</v>
      </c>
      <c r="H7" s="19">
        <v>0.3</v>
      </c>
      <c r="I7" s="19">
        <v>0.1</v>
      </c>
      <c r="J7" s="19">
        <v>0.3</v>
      </c>
      <c r="K7" s="19">
        <v>0.3</v>
      </c>
      <c r="L7" s="19"/>
      <c r="M7" s="19"/>
      <c r="N7" s="19"/>
      <c r="O7" s="19"/>
      <c r="P7" s="19"/>
      <c r="Q7" s="19"/>
      <c r="R7" s="19">
        <f t="shared" si="0"/>
        <v>1</v>
      </c>
    </row>
    <row r="8" spans="1:18">
      <c r="A8" t="str">
        <f>'Resource Pool'!B8</f>
        <v>Personnel</v>
      </c>
      <c r="B8" s="5" t="str">
        <f>'Resource Pool'!C38</f>
        <v>LOPEZ GOMEZ,GERSAIN</v>
      </c>
      <c r="C8" t="str">
        <f>'Staffing LIst'!B5</f>
        <v xml:space="preserve">AGRIC TECHNICIAN </v>
      </c>
      <c r="D8">
        <v>8542</v>
      </c>
      <c r="E8" s="1">
        <v>1</v>
      </c>
      <c r="G8" s="10">
        <f>'Resource Pool'!E8</f>
        <v>57986.5</v>
      </c>
      <c r="H8" s="19">
        <v>0.5</v>
      </c>
      <c r="I8" s="19">
        <v>0.5</v>
      </c>
      <c r="J8" s="19"/>
      <c r="K8" s="19"/>
      <c r="L8" s="19"/>
      <c r="M8" s="19"/>
      <c r="N8" s="19"/>
      <c r="O8" s="19"/>
      <c r="P8" s="19"/>
      <c r="Q8" s="19"/>
      <c r="R8" s="19">
        <f t="shared" si="0"/>
        <v>1</v>
      </c>
    </row>
    <row r="9" spans="1:18">
      <c r="A9" t="str">
        <f>'Resource Pool'!B9</f>
        <v>Personnel</v>
      </c>
      <c r="B9" s="5" t="str">
        <f>'Resource Pool'!C39</f>
        <v>MACIEL,FRANCISCO T</v>
      </c>
      <c r="C9" t="str">
        <f>'Staffing LIst'!B6</f>
        <v>STAFF RES ASSOC 2</v>
      </c>
      <c r="D9">
        <v>9617</v>
      </c>
      <c r="E9" s="1">
        <v>1</v>
      </c>
      <c r="G9" s="10">
        <f>'Resource Pool'!E9</f>
        <v>79767.355500000005</v>
      </c>
      <c r="H9" s="19">
        <v>0.5</v>
      </c>
      <c r="I9" s="19"/>
      <c r="J9" s="19">
        <v>0.5</v>
      </c>
      <c r="K9" s="19"/>
      <c r="L9" s="19"/>
      <c r="M9" s="19"/>
      <c r="N9" s="19"/>
      <c r="O9" s="19"/>
      <c r="P9" s="19"/>
      <c r="Q9" s="19"/>
      <c r="R9" s="19">
        <f t="shared" si="0"/>
        <v>1</v>
      </c>
    </row>
    <row r="10" spans="1:18">
      <c r="A10" t="str">
        <f>'Resource Pool'!B10</f>
        <v>Personnel</v>
      </c>
      <c r="B10" s="5" t="str">
        <f>'Resource Pool'!C40</f>
        <v>MAGALLON,GILBERTO</v>
      </c>
      <c r="C10" t="str">
        <f>'Staffing LIst'!B7</f>
        <v>AGRICULTURE SUPV 2</v>
      </c>
      <c r="D10">
        <v>8878</v>
      </c>
      <c r="E10" s="1">
        <v>1</v>
      </c>
      <c r="G10" s="10">
        <f>'Resource Pool'!E10</f>
        <v>95449.179000000004</v>
      </c>
      <c r="H10" s="19"/>
      <c r="I10" s="19">
        <v>0.4</v>
      </c>
      <c r="J10" s="19">
        <v>0.3</v>
      </c>
      <c r="K10" s="19">
        <v>0.3</v>
      </c>
      <c r="L10" s="19"/>
      <c r="M10" s="19"/>
      <c r="N10" s="19"/>
      <c r="O10" s="19"/>
      <c r="P10" s="19"/>
      <c r="Q10" s="19"/>
      <c r="R10" s="19">
        <f t="shared" si="0"/>
        <v>1</v>
      </c>
    </row>
    <row r="11" spans="1:18">
      <c r="A11" t="str">
        <f>'Resource Pool'!B11</f>
        <v>Personnel</v>
      </c>
      <c r="B11" s="5" t="str">
        <f>'Resource Pool'!C41</f>
        <v>MARTINEZ,SERGIO M.</v>
      </c>
      <c r="C11" t="str">
        <f>'Staffing LIst'!B8</f>
        <v>ANIMAL TECHNICIAN</v>
      </c>
      <c r="D11">
        <v>9525</v>
      </c>
      <c r="E11" s="4">
        <v>1</v>
      </c>
      <c r="G11" s="10">
        <f>'Resource Pool'!E11</f>
        <v>64465.716</v>
      </c>
      <c r="H11" s="3"/>
      <c r="I11" s="3"/>
      <c r="J11" s="3">
        <v>0.3</v>
      </c>
      <c r="K11" s="3"/>
      <c r="L11" s="3">
        <v>0.7</v>
      </c>
      <c r="M11" s="3"/>
      <c r="N11" s="3"/>
      <c r="O11" s="3"/>
      <c r="P11" s="3"/>
      <c r="Q11" s="3"/>
      <c r="R11" s="19">
        <f t="shared" si="0"/>
        <v>1</v>
      </c>
    </row>
    <row r="12" spans="1:18">
      <c r="A12" t="str">
        <f>'Resource Pool'!B12</f>
        <v>Personnel</v>
      </c>
      <c r="B12" s="5" t="str">
        <f>'Resource Pool'!C42</f>
        <v>ORTEGA,ROGELIO</v>
      </c>
      <c r="C12" t="str">
        <f>'Staffing LIst'!B9</f>
        <v>PRIN AGRIC TECHNICIAN</v>
      </c>
      <c r="D12">
        <v>8540</v>
      </c>
      <c r="E12" s="4">
        <v>1</v>
      </c>
      <c r="G12" s="10">
        <f>'Resource Pool'!E12</f>
        <v>76139.375</v>
      </c>
      <c r="H12" s="3">
        <v>1</v>
      </c>
      <c r="I12" s="3"/>
      <c r="J12" s="3"/>
      <c r="K12" s="3"/>
      <c r="L12" s="3"/>
      <c r="M12" s="3"/>
      <c r="N12" s="3"/>
      <c r="O12" s="3"/>
      <c r="P12" s="3"/>
      <c r="Q12" s="3"/>
      <c r="R12" s="19">
        <f t="shared" si="0"/>
        <v>1</v>
      </c>
    </row>
    <row r="13" spans="1:18" ht="30">
      <c r="A13" t="str">
        <f>'Resource Pool'!B13</f>
        <v>Personnel</v>
      </c>
      <c r="B13" s="5" t="str">
        <f>'Resource Pool'!C43</f>
        <v>PLACEHOLDER FOR ARREDONDO WORK TIME IN RES</v>
      </c>
      <c r="C13" t="str">
        <f>'Staffing LIst'!B10</f>
        <v>SR CUSTODIAN</v>
      </c>
      <c r="D13">
        <v>5116</v>
      </c>
      <c r="E13" s="4">
        <v>0.1</v>
      </c>
      <c r="G13" s="10">
        <f>'Resource Pool'!E13</f>
        <v>19310</v>
      </c>
      <c r="H13" s="3"/>
      <c r="I13" s="3"/>
      <c r="J13" s="3">
        <v>0.5</v>
      </c>
      <c r="K13" s="3"/>
      <c r="L13" s="3">
        <v>0.2</v>
      </c>
      <c r="M13" s="3">
        <v>0.3</v>
      </c>
      <c r="N13" s="3"/>
      <c r="O13" s="3"/>
      <c r="P13" s="3"/>
      <c r="Q13" s="3"/>
      <c r="R13" s="19">
        <f t="shared" si="0"/>
        <v>1</v>
      </c>
    </row>
    <row r="14" spans="1:18">
      <c r="A14" t="str">
        <f>'Resource Pool'!B14</f>
        <v>Personnel</v>
      </c>
      <c r="B14" s="5" t="str">
        <f>'Resource Pool'!C44</f>
        <v>PRECIADO,DAVID R</v>
      </c>
      <c r="C14" t="str">
        <f>'Staffing LIst'!B11</f>
        <v>PHYS PLT MECH 2</v>
      </c>
      <c r="D14">
        <v>8370</v>
      </c>
      <c r="E14" s="4">
        <v>1</v>
      </c>
      <c r="G14" s="10">
        <f>'Resource Pool'!E14</f>
        <v>80790.633000000002</v>
      </c>
      <c r="H14" s="3"/>
      <c r="I14" s="3">
        <v>0.3</v>
      </c>
      <c r="J14" s="3"/>
      <c r="K14" s="3">
        <v>0.7</v>
      </c>
      <c r="L14" s="3"/>
      <c r="M14" s="3"/>
      <c r="N14" s="3"/>
      <c r="O14" s="3"/>
      <c r="P14" s="3"/>
      <c r="Q14" s="3"/>
      <c r="R14" s="19">
        <f t="shared" si="0"/>
        <v>1</v>
      </c>
    </row>
    <row r="15" spans="1:18" ht="30">
      <c r="A15" t="str">
        <f>'Resource Pool'!B15</f>
        <v>Personnel</v>
      </c>
      <c r="B15" s="5" t="str">
        <f>'Resource Pool'!C45</f>
        <v>PLACEHOLDER FOR CENTER DIRECTOR DIAZ-RAMIREZ</v>
      </c>
      <c r="C15" t="str">
        <f>'Staffing LIst'!B12</f>
        <v>ASSOC SPECIALIST COOP EXT</v>
      </c>
      <c r="D15">
        <v>3477</v>
      </c>
      <c r="E15" s="4">
        <v>1</v>
      </c>
      <c r="G15" s="10">
        <f>'Resource Pool'!E15</f>
        <v>166371.24</v>
      </c>
      <c r="H15" s="3">
        <v>0.1</v>
      </c>
      <c r="I15" s="3">
        <v>0.5</v>
      </c>
      <c r="J15" s="3">
        <v>0.4</v>
      </c>
      <c r="K15" s="3"/>
      <c r="L15" s="3"/>
      <c r="M15" s="3"/>
      <c r="N15" s="3"/>
      <c r="O15" s="3"/>
      <c r="P15" s="3"/>
      <c r="Q15" s="3"/>
      <c r="R15" s="19">
        <f t="shared" si="0"/>
        <v>1</v>
      </c>
    </row>
    <row r="16" spans="1:18" ht="30">
      <c r="A16" t="str">
        <f>'Resource Pool'!B16</f>
        <v>Personnel</v>
      </c>
      <c r="B16" s="5" t="str">
        <f>'Resource Pool'!C46</f>
        <v>PROVISION: TC 9617 (PREVIOUS MAGALLON)</v>
      </c>
      <c r="C16" t="str">
        <f>'Staffing LIst'!B13</f>
        <v>STAFF RES ASSOC 2</v>
      </c>
      <c r="D16">
        <v>9617</v>
      </c>
      <c r="E16" s="4">
        <v>1</v>
      </c>
      <c r="G16" s="10">
        <f>'Resource Pool'!E16</f>
        <v>82999.686000000002</v>
      </c>
      <c r="H16" s="3"/>
      <c r="I16" s="3"/>
      <c r="J16" s="3"/>
      <c r="K16" s="3"/>
      <c r="L16" s="3">
        <v>0.4</v>
      </c>
      <c r="M16" s="3">
        <v>0.6</v>
      </c>
      <c r="N16" s="3"/>
      <c r="O16" s="3"/>
      <c r="P16" s="3"/>
      <c r="Q16" s="3"/>
      <c r="R16" s="19">
        <f t="shared" si="0"/>
        <v>1</v>
      </c>
    </row>
    <row r="17" spans="1:18">
      <c r="A17" t="str">
        <f>'Resource Pool'!B17</f>
        <v>Personnel</v>
      </c>
      <c r="B17" s="5" t="str">
        <f>'Resource Pool'!C47</f>
        <v>QUINTANA,SILVIA</v>
      </c>
      <c r="C17" t="str">
        <f>'Staffing LIst'!B14</f>
        <v>BLANK ASST 2</v>
      </c>
      <c r="D17">
        <v>4723</v>
      </c>
      <c r="E17" s="4">
        <v>1</v>
      </c>
      <c r="G17" s="10">
        <f>'Resource Pool'!E17</f>
        <v>70845.125</v>
      </c>
      <c r="H17" s="3"/>
      <c r="I17" s="3"/>
      <c r="J17" s="3"/>
      <c r="K17" s="3"/>
      <c r="L17" s="3">
        <v>0.4</v>
      </c>
      <c r="M17" s="3">
        <v>0.6</v>
      </c>
      <c r="N17" s="3"/>
      <c r="O17" s="3"/>
      <c r="P17" s="3"/>
      <c r="Q17" s="3"/>
      <c r="R17" s="19">
        <f t="shared" si="0"/>
        <v>1</v>
      </c>
    </row>
    <row r="18" spans="1:18">
      <c r="A18" t="str">
        <f>'Resource Pool'!B18</f>
        <v>Personnel</v>
      </c>
      <c r="B18" s="5" t="str">
        <f>'Resource Pool'!C48</f>
        <v>SAMBRANO,EFRAIN R</v>
      </c>
      <c r="C18" t="str">
        <f>'Staffing LIst'!B15</f>
        <v xml:space="preserve">AGRIC TECHNICIAN </v>
      </c>
      <c r="D18">
        <v>8542</v>
      </c>
      <c r="E18" s="4">
        <v>1</v>
      </c>
      <c r="G18" s="10">
        <f>'Resource Pool'!E18</f>
        <v>75019.75</v>
      </c>
      <c r="H18" s="3"/>
      <c r="I18" s="3"/>
      <c r="J18" s="3"/>
      <c r="K18" s="3">
        <v>0.2</v>
      </c>
      <c r="L18" s="3">
        <v>0.3</v>
      </c>
      <c r="M18" s="3">
        <v>0.5</v>
      </c>
      <c r="N18" s="3"/>
      <c r="O18" s="3"/>
      <c r="P18" s="3"/>
      <c r="Q18" s="3"/>
      <c r="R18" s="19">
        <f t="shared" si="0"/>
        <v>1</v>
      </c>
    </row>
    <row r="19" spans="1:18">
      <c r="A19" t="str">
        <f>'Resource Pool'!B19</f>
        <v>Personnel</v>
      </c>
      <c r="B19" s="5" t="str">
        <f>'Resource Pool'!C49</f>
        <v>SEVERE,JENNA N</v>
      </c>
      <c r="C19" t="str">
        <f>'Staffing LIst'!B16</f>
        <v>BLANK ASST 2</v>
      </c>
      <c r="D19">
        <v>4723</v>
      </c>
      <c r="E19" s="4">
        <v>0.7</v>
      </c>
      <c r="G19" s="10">
        <f>'Resource Pool'!E19</f>
        <v>45672.25</v>
      </c>
      <c r="H19" s="3"/>
      <c r="I19" s="3"/>
      <c r="J19" s="3">
        <v>0.1</v>
      </c>
      <c r="K19" s="3">
        <v>0.1</v>
      </c>
      <c r="L19" s="3">
        <v>0.8</v>
      </c>
      <c r="M19" s="3"/>
      <c r="N19" s="3"/>
      <c r="O19" s="3"/>
      <c r="P19" s="3"/>
      <c r="Q19" s="3"/>
      <c r="R19" s="19">
        <f t="shared" si="0"/>
        <v>1</v>
      </c>
    </row>
    <row r="20" spans="1:18">
      <c r="A20" t="str">
        <f>'Resource Pool'!B20</f>
        <v>Personnel</v>
      </c>
      <c r="B20" s="5" t="str">
        <f>'Resource Pool'!C50</f>
        <v>SILVA,ARMANDO</v>
      </c>
      <c r="C20" t="str">
        <f>'Staffing LIst'!B17</f>
        <v>FARM MACHINERY MECH</v>
      </c>
      <c r="D20">
        <v>8523</v>
      </c>
      <c r="E20" s="4">
        <v>1</v>
      </c>
      <c r="G20" s="10">
        <f>'Resource Pool'!E20</f>
        <v>107253.25</v>
      </c>
      <c r="H20" s="3"/>
      <c r="I20" s="3"/>
      <c r="J20" s="3"/>
      <c r="K20" s="3"/>
      <c r="L20" s="3"/>
      <c r="M20" s="3">
        <v>1</v>
      </c>
      <c r="N20" s="3"/>
      <c r="O20" s="3"/>
      <c r="P20" s="3"/>
      <c r="Q20" s="3"/>
      <c r="R20" s="19">
        <f t="shared" si="0"/>
        <v>1</v>
      </c>
    </row>
    <row r="21" spans="1:18">
      <c r="A21" t="str">
        <f>'Resource Pool'!B21</f>
        <v>Personnel</v>
      </c>
      <c r="B21" s="5" t="str">
        <f>'Resource Pool'!C51</f>
        <v>WILLS,STACEY C</v>
      </c>
      <c r="C21" t="str">
        <f>'Staffing LIst'!B18</f>
        <v>CMTY EDUC SPEC 3</v>
      </c>
      <c r="D21">
        <v>5838</v>
      </c>
      <c r="E21" s="4">
        <v>1</v>
      </c>
      <c r="G21" s="10">
        <f>'Resource Pool'!E21</f>
        <v>70962.125</v>
      </c>
      <c r="H21" s="3">
        <v>0.1</v>
      </c>
      <c r="I21" s="3">
        <v>0.5</v>
      </c>
      <c r="J21" s="3"/>
      <c r="K21" s="3">
        <v>0.4</v>
      </c>
      <c r="L21" s="3"/>
      <c r="M21" s="3"/>
      <c r="N21" s="3"/>
      <c r="O21" s="3"/>
      <c r="P21" s="3"/>
      <c r="Q21" s="3"/>
      <c r="R21" s="19">
        <f t="shared" si="0"/>
        <v>1</v>
      </c>
    </row>
    <row r="22" spans="1:18">
      <c r="A22" t="str">
        <f>'Resource Pool'!B22</f>
        <v>Personnel</v>
      </c>
      <c r="B22" s="5" t="str">
        <f>'Resource Pool'!C52</f>
        <v>Contract Labor</v>
      </c>
      <c r="G22" s="10">
        <f>'Resource Pool'!E22</f>
        <v>100000</v>
      </c>
      <c r="H22" s="3"/>
      <c r="I22" s="3">
        <v>0.5</v>
      </c>
      <c r="J22" s="3">
        <v>0.5</v>
      </c>
      <c r="K22" s="3"/>
      <c r="L22" s="3"/>
      <c r="M22" s="3"/>
      <c r="N22" s="3"/>
      <c r="O22" s="3"/>
      <c r="P22" s="3"/>
      <c r="Q22" s="3"/>
      <c r="R22" s="19">
        <f t="shared" si="0"/>
        <v>1</v>
      </c>
    </row>
    <row r="23" spans="1:18">
      <c r="A23" t="str">
        <f>'Resource Pool'!B23</f>
        <v>Supplies &amp; Expense</v>
      </c>
      <c r="B23" s="5" t="str">
        <f>'Resource Pool'!C53</f>
        <v>Utilities</v>
      </c>
      <c r="G23" s="10">
        <f>'Resource Pool'!E23</f>
        <v>3000</v>
      </c>
      <c r="H23" s="3"/>
      <c r="I23" s="3">
        <v>0.2</v>
      </c>
      <c r="J23" s="3">
        <v>0.3</v>
      </c>
      <c r="K23" s="3">
        <v>0.5</v>
      </c>
      <c r="L23" s="3"/>
      <c r="M23" s="3"/>
      <c r="N23" s="3"/>
      <c r="O23" s="3"/>
      <c r="P23" s="3"/>
      <c r="Q23" s="3"/>
      <c r="R23" s="19">
        <f t="shared" si="0"/>
        <v>1</v>
      </c>
    </row>
    <row r="24" spans="1:18">
      <c r="A24" t="str">
        <f>'Resource Pool'!B24</f>
        <v>Supplies &amp; Expense</v>
      </c>
      <c r="B24" s="5" t="str">
        <f>'Resource Pool'!C54</f>
        <v>Fuel</v>
      </c>
      <c r="G24" s="10">
        <f>'Resource Pool'!E24</f>
        <v>20000</v>
      </c>
      <c r="H24" s="3"/>
      <c r="I24" s="3"/>
      <c r="J24" s="3">
        <v>0.3</v>
      </c>
      <c r="K24" s="3">
        <v>0.7</v>
      </c>
      <c r="L24" s="3"/>
      <c r="M24" s="3"/>
      <c r="N24" s="3"/>
      <c r="O24" s="3"/>
      <c r="P24" s="3"/>
      <c r="Q24" s="3"/>
      <c r="R24" s="19">
        <f t="shared" si="0"/>
        <v>1</v>
      </c>
    </row>
    <row r="25" spans="1:18">
      <c r="A25" t="str">
        <f>'Resource Pool'!B25</f>
        <v>Supplies &amp; Expense</v>
      </c>
      <c r="B25" s="5" t="str">
        <f>'Resource Pool'!C55</f>
        <v>Chemicals</v>
      </c>
      <c r="G25" s="10">
        <f>'Resource Pool'!E25</f>
        <v>10000</v>
      </c>
      <c r="H25" s="3"/>
      <c r="I25" s="3"/>
      <c r="J25" s="3"/>
      <c r="K25" s="3">
        <v>1</v>
      </c>
      <c r="L25" s="3"/>
      <c r="M25" s="3"/>
      <c r="N25" s="3"/>
      <c r="O25" s="3"/>
      <c r="P25" s="3"/>
      <c r="Q25" s="3"/>
      <c r="R25" s="19">
        <f t="shared" si="0"/>
        <v>1</v>
      </c>
    </row>
    <row r="26" spans="1:18">
      <c r="A26" t="str">
        <f>'Resource Pool'!B26</f>
        <v>Supplies &amp; Expense</v>
      </c>
      <c r="B26" s="5" t="str">
        <f>'Resource Pool'!C56</f>
        <v>Misc Supplies &amp; Expenses</v>
      </c>
      <c r="G26" s="10">
        <f>'Resource Pool'!E26</f>
        <v>4000</v>
      </c>
      <c r="H26" s="3">
        <v>0.3</v>
      </c>
      <c r="I26" s="3">
        <v>0.5</v>
      </c>
      <c r="J26" s="3">
        <v>0.2</v>
      </c>
      <c r="K26" s="3"/>
      <c r="L26" s="3"/>
      <c r="M26" s="3"/>
      <c r="N26" s="3"/>
      <c r="O26" s="3"/>
      <c r="P26" s="3"/>
      <c r="Q26" s="3"/>
      <c r="R26" s="19">
        <f t="shared" si="0"/>
        <v>1</v>
      </c>
    </row>
    <row r="27" spans="1:18">
      <c r="A27" t="str">
        <f>'Resource Pool'!B27</f>
        <v>Deferred Maintenance</v>
      </c>
      <c r="B27" s="5" t="str">
        <f>'Resource Pool'!C57</f>
        <v>Deferred Maintenance</v>
      </c>
      <c r="G27" s="10">
        <f>'Resource Pool'!E27</f>
        <v>40000</v>
      </c>
      <c r="H27" s="3"/>
      <c r="I27" s="3"/>
      <c r="J27" s="3"/>
      <c r="K27" s="3"/>
      <c r="L27" s="3">
        <v>0.4</v>
      </c>
      <c r="M27" s="3">
        <v>0.6</v>
      </c>
      <c r="N27" s="3"/>
      <c r="O27" s="3"/>
      <c r="P27" s="3"/>
      <c r="Q27" s="3"/>
      <c r="R27" s="19">
        <f t="shared" si="0"/>
        <v>1</v>
      </c>
    </row>
    <row r="28" spans="1:18">
      <c r="A28" t="str">
        <f>'Resource Pool'!B28</f>
        <v>Equipment</v>
      </c>
      <c r="B28" s="5" t="str">
        <f>'Resource Pool'!C58</f>
        <v>Equipment</v>
      </c>
      <c r="G28" s="10">
        <f>'Resource Pool'!E28</f>
        <v>50000</v>
      </c>
      <c r="H28" s="3"/>
      <c r="I28" s="3">
        <v>0.5</v>
      </c>
      <c r="J28" s="3">
        <v>0.5</v>
      </c>
      <c r="K28" s="3"/>
      <c r="L28" s="3"/>
      <c r="M28" s="3"/>
      <c r="N28" s="3"/>
      <c r="O28" s="3"/>
      <c r="P28" s="3"/>
      <c r="Q28" s="3"/>
      <c r="R28" s="19">
        <f t="shared" si="0"/>
        <v>1</v>
      </c>
    </row>
    <row r="29" spans="1:18">
      <c r="D29" t="s">
        <v>106</v>
      </c>
      <c r="G29" s="10">
        <f>SUM(G5:G28)</f>
        <v>1514393.0384494001</v>
      </c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>
      <c r="G30" s="10"/>
    </row>
    <row r="31" spans="1:18">
      <c r="B31" t="s">
        <v>14</v>
      </c>
      <c r="C31" t="s">
        <v>48</v>
      </c>
    </row>
    <row r="32" spans="1:18">
      <c r="B32" t="s">
        <v>15</v>
      </c>
      <c r="C32" t="s">
        <v>101</v>
      </c>
    </row>
    <row r="33" spans="2:3">
      <c r="B33" t="s">
        <v>16</v>
      </c>
      <c r="C33" t="s">
        <v>102</v>
      </c>
    </row>
    <row r="34" spans="2:3">
      <c r="B34" t="s">
        <v>17</v>
      </c>
      <c r="C34" t="s">
        <v>103</v>
      </c>
    </row>
    <row r="35" spans="2:3">
      <c r="B35" t="s">
        <v>18</v>
      </c>
      <c r="C35" t="s">
        <v>104</v>
      </c>
    </row>
    <row r="36" spans="2:3">
      <c r="B36" t="s">
        <v>19</v>
      </c>
      <c r="C36" t="s">
        <v>107</v>
      </c>
    </row>
    <row r="37" spans="2:3">
      <c r="B37" t="s">
        <v>20</v>
      </c>
      <c r="C37" t="s">
        <v>108</v>
      </c>
    </row>
    <row r="38" spans="2:3">
      <c r="B38" t="s">
        <v>21</v>
      </c>
    </row>
    <row r="39" spans="2:3">
      <c r="B39" t="s">
        <v>22</v>
      </c>
    </row>
    <row r="40" spans="2:3">
      <c r="B40" t="s">
        <v>23</v>
      </c>
    </row>
    <row r="41" spans="2:3">
      <c r="B41" t="s">
        <v>24</v>
      </c>
    </row>
  </sheetData>
  <mergeCells count="1">
    <mergeCell ref="H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7"/>
  <sheetViews>
    <sheetView workbookViewId="0"/>
  </sheetViews>
  <sheetFormatPr defaultRowHeight="15"/>
  <cols>
    <col min="1" max="1" width="11.140625" bestFit="1" customWidth="1"/>
    <col min="2" max="2" width="19.28515625" bestFit="1" customWidth="1"/>
    <col min="3" max="3" width="16.85546875" bestFit="1" customWidth="1"/>
    <col min="4" max="4" width="12.140625" bestFit="1" customWidth="1"/>
    <col min="5" max="5" width="18.5703125" bestFit="1" customWidth="1"/>
    <col min="6" max="6" width="12.140625" bestFit="1" customWidth="1"/>
    <col min="7" max="7" width="22.140625" bestFit="1" customWidth="1"/>
    <col min="8" max="8" width="10.5703125" bestFit="1" customWidth="1"/>
    <col min="9" max="12" width="10.140625" bestFit="1" customWidth="1"/>
    <col min="13" max="13" width="11.140625" bestFit="1" customWidth="1"/>
  </cols>
  <sheetData>
    <row r="2" spans="1:11">
      <c r="A2" t="str">
        <f>Personnel!B31</f>
        <v>Function</v>
      </c>
      <c r="B2" t="s">
        <v>48</v>
      </c>
      <c r="C2" t="str">
        <f>'Resource Pool'!E34</f>
        <v>Direct Labor Costs</v>
      </c>
      <c r="D2" s="1" t="str">
        <f>'Resource Pool'!F34</f>
        <v>Equipment</v>
      </c>
      <c r="E2" s="3" t="str">
        <f>'Resource Pool'!G34</f>
        <v>Supplies &amp; Expense</v>
      </c>
      <c r="F2" s="3" t="str">
        <f>'Resource Pool'!H34</f>
        <v>Indirect Cost</v>
      </c>
      <c r="G2" s="3" t="str">
        <f>'Resource Pool'!I34</f>
        <v>Defferred Maintenance</v>
      </c>
      <c r="H2" s="3" t="s">
        <v>25</v>
      </c>
      <c r="I2" s="3"/>
      <c r="J2" s="3"/>
      <c r="K2" s="3"/>
    </row>
    <row r="3" spans="1:11">
      <c r="A3" t="str">
        <f>Personnel!B32</f>
        <v>Function 1</v>
      </c>
      <c r="B3" t="str">
        <f>Personnel!C32</f>
        <v>Pruning</v>
      </c>
      <c r="C3" s="2">
        <f>SUMPRODUCT(Personnel!$G$5:$G$22,Personnel!$H$5:$H$22)</f>
        <v>223128.45530982001</v>
      </c>
      <c r="D3" s="2">
        <f>Personnel!$G$28*Personnel!$H$28</f>
        <v>0</v>
      </c>
      <c r="E3" s="3"/>
      <c r="F3" s="3"/>
      <c r="G3" s="3"/>
      <c r="H3" s="16">
        <f>SUM(C3:G3)</f>
        <v>223128.45530982001</v>
      </c>
      <c r="I3" s="3"/>
      <c r="J3" s="3"/>
      <c r="K3" s="3"/>
    </row>
    <row r="4" spans="1:11">
      <c r="A4" t="str">
        <f>Personnel!B33</f>
        <v>Function 2</v>
      </c>
      <c r="B4" t="str">
        <f>Personnel!C33</f>
        <v>Triming</v>
      </c>
      <c r="C4" s="2">
        <f>SUMPRODUCT(Personnel!$G$5:$G$22,Personnel!$I$5:$I$22)</f>
        <v>280089.04914493999</v>
      </c>
      <c r="D4" s="2">
        <f>Personnel!$G$28*Personnel!$I$28</f>
        <v>25000</v>
      </c>
      <c r="E4" s="3"/>
      <c r="F4" s="3"/>
      <c r="G4" s="3"/>
      <c r="H4" s="16">
        <f t="shared" ref="H4:H12" si="0">SUM(C4:G4)</f>
        <v>305089.04914493999</v>
      </c>
      <c r="I4" s="3"/>
      <c r="J4" s="3"/>
      <c r="K4" s="3"/>
    </row>
    <row r="5" spans="1:11">
      <c r="A5" t="str">
        <f>Personnel!B34</f>
        <v>Function 3</v>
      </c>
      <c r="B5" t="str">
        <f>Personnel!C34</f>
        <v>Cropping</v>
      </c>
      <c r="C5" s="2">
        <f>SUMPRODUCT(Personnel!$G$5:$G$22,Personnel!$J$5:$J$22)</f>
        <v>255561.41355982001</v>
      </c>
      <c r="D5" s="2">
        <f>Personnel!$G$28*Personnel!$J$28</f>
        <v>25000</v>
      </c>
      <c r="E5" s="3"/>
      <c r="F5" s="3"/>
      <c r="G5" s="3"/>
      <c r="H5" s="16">
        <f t="shared" si="0"/>
        <v>280561.41355982004</v>
      </c>
      <c r="I5" s="3"/>
      <c r="J5" s="3"/>
      <c r="K5" s="3"/>
    </row>
    <row r="6" spans="1:11">
      <c r="A6" t="str">
        <f>Personnel!B35</f>
        <v>Function 4</v>
      </c>
      <c r="B6" t="str">
        <f>Personnel!C35</f>
        <v>Assist with Research</v>
      </c>
      <c r="C6" s="2">
        <f>SUMPRODUCT(Personnel!$G$5:$G$22,Personnel!$K$5:$K$22)</f>
        <v>174006.20823482002</v>
      </c>
      <c r="D6" s="2">
        <f>Personnel!$G$28*Personnel!$K$28</f>
        <v>0</v>
      </c>
      <c r="E6" s="3"/>
      <c r="F6" s="3"/>
      <c r="G6" s="3"/>
      <c r="H6" s="16">
        <f t="shared" si="0"/>
        <v>174006.20823482002</v>
      </c>
      <c r="I6" s="3"/>
      <c r="J6" s="3"/>
      <c r="K6" s="3"/>
    </row>
    <row r="7" spans="1:11">
      <c r="A7" t="str">
        <f>Personnel!B36</f>
        <v>Function 5</v>
      </c>
      <c r="B7" t="str">
        <f>Personnel!C36</f>
        <v xml:space="preserve">Administering </v>
      </c>
      <c r="C7" s="2">
        <f>SUMPRODUCT(Personnel!$G$5:$G$22,Personnel!$L$5:$L$22)</f>
        <v>194874.80059999996</v>
      </c>
      <c r="D7" s="2">
        <f>Personnel!$G$28*Personnel!$L$28</f>
        <v>0</v>
      </c>
      <c r="E7" s="3"/>
      <c r="F7" s="3"/>
      <c r="G7" s="3"/>
      <c r="H7" s="16">
        <f t="shared" si="0"/>
        <v>194874.80059999996</v>
      </c>
      <c r="I7" s="3"/>
      <c r="J7" s="3"/>
      <c r="K7" s="3"/>
    </row>
    <row r="8" spans="1:11">
      <c r="A8" t="str">
        <f>Personnel!B37</f>
        <v>Function 6</v>
      </c>
      <c r="B8" t="str">
        <f>Personnel!C37</f>
        <v>Managing ….</v>
      </c>
      <c r="C8" s="2">
        <f>SUMPRODUCT(Personnel!$G$5:$G$22,Personnel!$M$5:$M$22)</f>
        <v>259733.1116</v>
      </c>
      <c r="D8" s="2">
        <f>Personnel!$G$28*Personnel!$M$28</f>
        <v>0</v>
      </c>
      <c r="H8" s="16">
        <f t="shared" si="0"/>
        <v>259733.1116</v>
      </c>
      <c r="K8" s="3"/>
    </row>
    <row r="9" spans="1:11">
      <c r="A9" t="str">
        <f>Personnel!B38</f>
        <v>Function 7</v>
      </c>
      <c r="B9">
        <f>Personnel!C38</f>
        <v>0</v>
      </c>
      <c r="C9" s="2">
        <f>SUMPRODUCT(Personnel!$G$5:$G$22,Personnel!$N$5:$N$22)</f>
        <v>0</v>
      </c>
      <c r="D9" s="2">
        <f>Personnel!$G$28*Personnel!$N$28</f>
        <v>0</v>
      </c>
      <c r="H9" s="16">
        <f t="shared" si="0"/>
        <v>0</v>
      </c>
      <c r="K9" s="3"/>
    </row>
    <row r="10" spans="1:11">
      <c r="A10" t="str">
        <f>Personnel!B39</f>
        <v>Function 8</v>
      </c>
      <c r="B10">
        <f>Personnel!C39</f>
        <v>0</v>
      </c>
      <c r="C10" s="2">
        <f>SUMPRODUCT(Personnel!$G$5:$G$22,Personnel!$O$5:$O$22)</f>
        <v>0</v>
      </c>
      <c r="D10" s="2">
        <f>Personnel!$G$28*Personnel!$O$28</f>
        <v>0</v>
      </c>
      <c r="H10" s="16">
        <f t="shared" si="0"/>
        <v>0</v>
      </c>
      <c r="K10" s="3"/>
    </row>
    <row r="11" spans="1:11">
      <c r="A11" t="str">
        <f>Personnel!B40</f>
        <v>Function 9</v>
      </c>
      <c r="B11">
        <f>Personnel!C40</f>
        <v>0</v>
      </c>
      <c r="C11" s="2">
        <f>SUMPRODUCT(Personnel!$G$5:$G$22,Personnel!$P$5:$P$22)</f>
        <v>0</v>
      </c>
      <c r="D11" s="2">
        <f>Personnel!$G$28*Personnel!$P$28</f>
        <v>0</v>
      </c>
      <c r="H11" s="16">
        <f t="shared" si="0"/>
        <v>0</v>
      </c>
      <c r="K11" s="3"/>
    </row>
    <row r="12" spans="1:11">
      <c r="A12" t="str">
        <f>Personnel!B41</f>
        <v>Function 10</v>
      </c>
      <c r="B12">
        <f>Personnel!C41</f>
        <v>0</v>
      </c>
      <c r="C12" s="2">
        <f>SUMPRODUCT(Personnel!$G$5:$G$22,Personnel!$Q$5:$Q$22)</f>
        <v>0</v>
      </c>
      <c r="D12" s="2">
        <f>Personnel!$G$28*Personnel!$Q$28</f>
        <v>0</v>
      </c>
      <c r="H12" s="16">
        <f t="shared" si="0"/>
        <v>0</v>
      </c>
      <c r="K12" s="3"/>
    </row>
    <row r="13" spans="1:11">
      <c r="A13" t="s">
        <v>106</v>
      </c>
      <c r="C13" s="2">
        <f>SUM(C3:C12)</f>
        <v>1387393.0384494001</v>
      </c>
      <c r="D13" s="16">
        <f t="shared" ref="D13:H13" si="1">SUM(D3:D12)</f>
        <v>50000</v>
      </c>
      <c r="E13" s="16">
        <f t="shared" si="1"/>
        <v>0</v>
      </c>
      <c r="F13" s="16">
        <f t="shared" si="1"/>
        <v>0</v>
      </c>
      <c r="G13" s="16">
        <f t="shared" si="1"/>
        <v>0</v>
      </c>
      <c r="H13" s="16">
        <f t="shared" si="1"/>
        <v>1437393.0384494001</v>
      </c>
      <c r="K13" s="3"/>
    </row>
    <row r="17" spans="3:3">
      <c r="C17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9"/>
  <sheetViews>
    <sheetView workbookViewId="0"/>
  </sheetViews>
  <sheetFormatPr defaultRowHeight="15"/>
  <cols>
    <col min="1" max="1" width="59.5703125" bestFit="1" customWidth="1"/>
    <col min="2" max="2" width="25.5703125" customWidth="1"/>
    <col min="3" max="3" width="9.140625" style="4"/>
    <col min="5" max="5" width="20.140625" bestFit="1" customWidth="1"/>
  </cols>
  <sheetData>
    <row r="1" spans="1:5">
      <c r="A1" s="20" t="s">
        <v>109</v>
      </c>
      <c r="B1" s="20" t="s">
        <v>3</v>
      </c>
      <c r="C1" s="24" t="s">
        <v>110</v>
      </c>
      <c r="D1" s="20" t="s">
        <v>111</v>
      </c>
      <c r="E1" s="20" t="s">
        <v>112</v>
      </c>
    </row>
    <row r="2" spans="1:5">
      <c r="A2" s="21" t="s">
        <v>26</v>
      </c>
      <c r="B2" t="s">
        <v>27</v>
      </c>
      <c r="C2" s="4">
        <v>1</v>
      </c>
      <c r="D2" s="17">
        <v>51908</v>
      </c>
      <c r="E2" s="17">
        <v>84350.5</v>
      </c>
    </row>
    <row r="3" spans="1:5">
      <c r="A3" s="21" t="s">
        <v>28</v>
      </c>
      <c r="B3" t="s">
        <v>29</v>
      </c>
      <c r="C3" s="4">
        <v>0.7</v>
      </c>
      <c r="D3" s="17">
        <v>27726.829999999998</v>
      </c>
      <c r="E3" s="17">
        <v>45056.098749999997</v>
      </c>
    </row>
    <row r="4" spans="1:5">
      <c r="A4" s="21" t="s">
        <v>30</v>
      </c>
      <c r="B4" t="s">
        <v>31</v>
      </c>
      <c r="C4" s="4">
        <v>0.5</v>
      </c>
      <c r="D4" s="17">
        <v>42370.681799999998</v>
      </c>
      <c r="E4" s="17">
        <v>64954.255199399995</v>
      </c>
    </row>
    <row r="5" spans="1:5">
      <c r="A5" s="21" t="s">
        <v>32</v>
      </c>
      <c r="B5" t="s">
        <v>11</v>
      </c>
      <c r="C5" s="4">
        <v>1</v>
      </c>
      <c r="D5" s="17">
        <v>35684</v>
      </c>
      <c r="E5" s="17">
        <v>57986.5</v>
      </c>
    </row>
    <row r="6" spans="1:5">
      <c r="A6" s="21" t="s">
        <v>9</v>
      </c>
      <c r="B6" t="s">
        <v>8</v>
      </c>
      <c r="C6" s="4">
        <v>1</v>
      </c>
      <c r="D6" s="17">
        <v>52033.5</v>
      </c>
      <c r="E6" s="17">
        <v>79767.355500000005</v>
      </c>
    </row>
    <row r="7" spans="1:5">
      <c r="A7" s="21" t="s">
        <v>10</v>
      </c>
      <c r="B7" t="s">
        <v>5</v>
      </c>
      <c r="C7" s="25">
        <v>1</v>
      </c>
      <c r="D7" s="17">
        <v>62263</v>
      </c>
      <c r="E7" s="17">
        <v>95449.179000000004</v>
      </c>
    </row>
    <row r="8" spans="1:5">
      <c r="A8" s="21" t="s">
        <v>33</v>
      </c>
      <c r="B8" t="s">
        <v>34</v>
      </c>
      <c r="C8" s="4">
        <v>1</v>
      </c>
      <c r="D8" s="17">
        <v>42052</v>
      </c>
      <c r="E8" s="17">
        <v>64465.716</v>
      </c>
    </row>
    <row r="9" spans="1:5">
      <c r="A9" s="21" t="s">
        <v>4</v>
      </c>
      <c r="B9" t="s">
        <v>7</v>
      </c>
      <c r="C9" s="4">
        <v>1</v>
      </c>
      <c r="D9" s="17">
        <v>46855</v>
      </c>
      <c r="E9" s="17">
        <v>76139.375</v>
      </c>
    </row>
    <row r="10" spans="1:5">
      <c r="A10" s="21" t="s">
        <v>35</v>
      </c>
      <c r="B10" t="s">
        <v>29</v>
      </c>
      <c r="C10" s="4">
        <v>0.3</v>
      </c>
      <c r="D10" s="17">
        <v>11883</v>
      </c>
      <c r="E10" s="17">
        <v>19310</v>
      </c>
    </row>
    <row r="11" spans="1:5">
      <c r="A11" s="21" t="s">
        <v>36</v>
      </c>
      <c r="B11" t="s">
        <v>37</v>
      </c>
      <c r="C11" s="4">
        <v>1</v>
      </c>
      <c r="D11" s="17">
        <v>52701</v>
      </c>
      <c r="E11" s="17">
        <v>80790.633000000002</v>
      </c>
    </row>
    <row r="12" spans="1:5">
      <c r="A12" s="21" t="s">
        <v>118</v>
      </c>
      <c r="B12" t="s">
        <v>38</v>
      </c>
      <c r="C12" s="4">
        <v>1</v>
      </c>
      <c r="D12" s="17">
        <v>117660</v>
      </c>
      <c r="E12" s="17">
        <v>166371.24</v>
      </c>
    </row>
    <row r="13" spans="1:5">
      <c r="A13" s="21" t="s">
        <v>39</v>
      </c>
      <c r="B13" t="s">
        <v>8</v>
      </c>
      <c r="C13" s="4">
        <v>1</v>
      </c>
      <c r="D13" s="17">
        <v>54142</v>
      </c>
      <c r="E13" s="17">
        <v>82999.686000000002</v>
      </c>
    </row>
    <row r="14" spans="1:5">
      <c r="A14" s="21" t="s">
        <v>40</v>
      </c>
      <c r="B14" t="s">
        <v>41</v>
      </c>
      <c r="C14" s="4">
        <v>1</v>
      </c>
      <c r="D14" s="17">
        <v>43597</v>
      </c>
      <c r="E14" s="17">
        <v>70845.125</v>
      </c>
    </row>
    <row r="15" spans="1:5">
      <c r="A15" s="21" t="s">
        <v>12</v>
      </c>
      <c r="B15" t="s">
        <v>11</v>
      </c>
      <c r="C15" s="4">
        <v>1</v>
      </c>
      <c r="D15" s="17">
        <v>46166</v>
      </c>
      <c r="E15" s="17">
        <v>75019.75</v>
      </c>
    </row>
    <row r="16" spans="1:5">
      <c r="A16" s="21" t="s">
        <v>42</v>
      </c>
      <c r="B16" t="s">
        <v>41</v>
      </c>
      <c r="C16" s="4">
        <v>0.7</v>
      </c>
      <c r="D16" s="17">
        <v>28106</v>
      </c>
      <c r="E16" s="17">
        <v>45672.25</v>
      </c>
    </row>
    <row r="17" spans="1:5">
      <c r="A17" s="21" t="s">
        <v>43</v>
      </c>
      <c r="B17" t="s">
        <v>44</v>
      </c>
      <c r="C17" s="4">
        <v>1</v>
      </c>
      <c r="D17" s="17">
        <v>66002</v>
      </c>
      <c r="E17" s="17">
        <v>107253.25</v>
      </c>
    </row>
    <row r="18" spans="1:5">
      <c r="A18" s="21" t="s">
        <v>45</v>
      </c>
      <c r="B18" t="s">
        <v>46</v>
      </c>
      <c r="C18" s="4">
        <v>1</v>
      </c>
      <c r="D18" s="17">
        <v>43669</v>
      </c>
      <c r="E18" s="17">
        <v>70962.125</v>
      </c>
    </row>
    <row r="19" spans="1:5">
      <c r="A19" s="22" t="s">
        <v>113</v>
      </c>
      <c r="B19" s="22"/>
      <c r="C19" s="26">
        <v>15.2</v>
      </c>
      <c r="D19" s="23">
        <v>824819.01179999998</v>
      </c>
      <c r="E19" s="23">
        <v>1287392.9134494001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J42"/>
  <sheetViews>
    <sheetView workbookViewId="0">
      <selection sqref="A1:K1"/>
    </sheetView>
  </sheetViews>
  <sheetFormatPr defaultColWidth="10.7109375" defaultRowHeight="12"/>
  <cols>
    <col min="1" max="3" width="4.7109375" style="39" customWidth="1"/>
    <col min="4" max="4" width="7.7109375" style="39" customWidth="1"/>
    <col min="5" max="5" width="10.28515625" style="39" customWidth="1"/>
    <col min="6" max="6" width="23" style="39" customWidth="1"/>
    <col min="7" max="7" width="3.140625" style="39" customWidth="1"/>
    <col min="8" max="8" width="9.85546875" style="39" customWidth="1"/>
    <col min="9" max="9" width="9.5703125" style="39" customWidth="1"/>
    <col min="10" max="10" width="9.28515625" style="39" customWidth="1"/>
    <col min="11" max="11" width="3.140625" style="39" customWidth="1"/>
    <col min="12" max="12" width="11.85546875" style="39" bestFit="1" customWidth="1"/>
    <col min="13" max="13" width="13.140625" style="39" bestFit="1" customWidth="1"/>
    <col min="14" max="26" width="10.7109375" style="39"/>
    <col min="27" max="27" width="83.5703125" style="39" customWidth="1"/>
    <col min="28" max="16384" width="10.7109375" style="39"/>
  </cols>
  <sheetData>
    <row r="1" spans="1:13" ht="25.5" customHeight="1">
      <c r="A1" s="669" t="s">
        <v>130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</row>
    <row r="2" spans="1:13" s="154" customFormat="1" ht="20.100000000000001" customHeight="1">
      <c r="A2" s="670" t="s">
        <v>208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</row>
    <row r="3" spans="1:13" ht="23.25">
      <c r="A3" s="671" t="s">
        <v>209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</row>
    <row r="4" spans="1:13" ht="18">
      <c r="A4" s="672" t="s">
        <v>210</v>
      </c>
      <c r="B4" s="672"/>
      <c r="C4" s="672"/>
      <c r="D4" s="672"/>
      <c r="E4" s="672"/>
      <c r="F4" s="672"/>
      <c r="G4" s="672"/>
      <c r="H4" s="672"/>
      <c r="I4" s="672"/>
      <c r="J4" s="672"/>
      <c r="K4" s="155"/>
      <c r="M4" s="156" t="s">
        <v>132</v>
      </c>
    </row>
    <row r="5" spans="1:13" ht="20.100000000000001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M5" s="158"/>
    </row>
    <row r="6" spans="1:13" ht="20.100000000000001" customHeight="1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3" ht="15.75">
      <c r="A7" s="159" t="s">
        <v>211</v>
      </c>
      <c r="B7" s="160"/>
      <c r="C7" s="160"/>
      <c r="D7" s="160"/>
      <c r="E7" s="160"/>
      <c r="F7" s="160"/>
      <c r="G7" s="160"/>
      <c r="H7" s="161"/>
      <c r="I7" s="160"/>
      <c r="J7" s="160"/>
      <c r="K7" s="157"/>
    </row>
    <row r="8" spans="1:13" ht="15.75">
      <c r="A8" s="159"/>
      <c r="B8" s="160"/>
      <c r="C8" s="160"/>
      <c r="D8" s="160"/>
      <c r="E8" s="160"/>
      <c r="F8" s="160"/>
      <c r="G8" s="160"/>
      <c r="H8" s="161" t="s">
        <v>212</v>
      </c>
      <c r="I8" s="160"/>
      <c r="J8" s="160"/>
      <c r="K8" s="157"/>
    </row>
    <row r="9" spans="1:13" ht="12.75">
      <c r="A9" s="162"/>
      <c r="B9" s="163"/>
      <c r="C9" s="163"/>
      <c r="D9" s="163"/>
      <c r="E9" s="163"/>
      <c r="F9" s="163"/>
      <c r="G9" s="163"/>
      <c r="H9" s="164"/>
      <c r="I9" s="163"/>
      <c r="J9" s="163"/>
      <c r="K9" s="157"/>
    </row>
    <row r="10" spans="1:13" ht="12.7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57"/>
    </row>
    <row r="11" spans="1:13" ht="15">
      <c r="A11" s="166" t="s">
        <v>213</v>
      </c>
      <c r="B11" s="165"/>
      <c r="C11" s="165"/>
      <c r="D11" s="165"/>
      <c r="E11" s="165"/>
      <c r="F11" s="165"/>
      <c r="G11" s="165"/>
      <c r="H11" s="167" t="s">
        <v>214</v>
      </c>
      <c r="I11" s="165"/>
      <c r="J11" s="168">
        <f>2088</f>
        <v>2088</v>
      </c>
      <c r="K11" s="157"/>
      <c r="L11" s="188"/>
      <c r="M11" s="189"/>
    </row>
    <row r="12" spans="1:13" ht="12.75">
      <c r="A12" s="165"/>
      <c r="B12" s="165"/>
      <c r="C12" s="165"/>
      <c r="D12" s="165"/>
      <c r="E12" s="165"/>
      <c r="F12" s="165"/>
      <c r="G12" s="165"/>
      <c r="H12" s="165"/>
      <c r="I12" s="165"/>
      <c r="J12" s="169"/>
      <c r="K12" s="157"/>
    </row>
    <row r="13" spans="1:13" ht="12.75">
      <c r="A13" s="165" t="s">
        <v>215</v>
      </c>
      <c r="B13" s="165"/>
      <c r="C13" s="165"/>
      <c r="D13" s="165"/>
      <c r="E13" s="165"/>
      <c r="F13" s="165"/>
      <c r="G13" s="165"/>
      <c r="H13" s="165"/>
      <c r="I13" s="165"/>
      <c r="J13" s="169"/>
      <c r="K13" s="157"/>
    </row>
    <row r="14" spans="1:13" ht="12.75">
      <c r="A14" s="165"/>
      <c r="B14" s="165"/>
      <c r="C14" s="165"/>
      <c r="D14" s="165"/>
      <c r="E14" s="165"/>
      <c r="F14" s="165"/>
      <c r="G14" s="165"/>
      <c r="H14" s="165"/>
      <c r="I14" s="165"/>
      <c r="J14" s="169"/>
      <c r="K14" s="157"/>
    </row>
    <row r="15" spans="1:13" ht="15">
      <c r="A15" s="165"/>
      <c r="B15" s="165" t="s">
        <v>216</v>
      </c>
      <c r="C15" s="165"/>
      <c r="D15" s="165"/>
      <c r="E15" s="165"/>
      <c r="F15" s="165"/>
      <c r="G15" s="165"/>
      <c r="H15" s="167" t="s">
        <v>217</v>
      </c>
      <c r="I15" s="165"/>
      <c r="J15" s="170">
        <v>104</v>
      </c>
      <c r="K15" s="171" t="s">
        <v>218</v>
      </c>
    </row>
    <row r="16" spans="1:13" ht="13.5">
      <c r="A16" s="165"/>
      <c r="B16" s="165" t="s">
        <v>219</v>
      </c>
      <c r="C16" s="165"/>
      <c r="D16" s="165"/>
      <c r="E16" s="165"/>
      <c r="F16" s="165"/>
      <c r="G16" s="165"/>
      <c r="H16" s="165" t="s">
        <v>220</v>
      </c>
      <c r="I16" s="165"/>
      <c r="J16" s="172">
        <v>120</v>
      </c>
      <c r="K16" s="171" t="s">
        <v>221</v>
      </c>
    </row>
    <row r="17" spans="1:13" ht="13.5">
      <c r="A17" s="165"/>
      <c r="B17" s="165" t="s">
        <v>222</v>
      </c>
      <c r="C17" s="165"/>
      <c r="D17" s="165"/>
      <c r="E17" s="165"/>
      <c r="F17" s="165"/>
      <c r="G17" s="165"/>
      <c r="H17" s="165" t="s">
        <v>223</v>
      </c>
      <c r="I17" s="165"/>
      <c r="J17" s="173">
        <v>29</v>
      </c>
      <c r="K17" s="171" t="s">
        <v>221</v>
      </c>
    </row>
    <row r="18" spans="1:13" ht="13.5">
      <c r="A18" s="165"/>
      <c r="B18" s="165" t="s">
        <v>224</v>
      </c>
      <c r="C18" s="165"/>
      <c r="D18" s="165"/>
      <c r="E18" s="165"/>
      <c r="F18" s="165"/>
      <c r="G18" s="165"/>
      <c r="H18" s="165"/>
      <c r="I18" s="165"/>
      <c r="J18" s="174">
        <v>71</v>
      </c>
      <c r="K18" s="171" t="s">
        <v>221</v>
      </c>
    </row>
    <row r="19" spans="1:13" ht="12.75">
      <c r="A19" s="165"/>
      <c r="B19" s="175"/>
      <c r="C19" s="165"/>
      <c r="D19" s="165"/>
      <c r="E19" s="165"/>
      <c r="F19" s="165"/>
      <c r="G19" s="165"/>
      <c r="H19" s="165"/>
      <c r="I19" s="165"/>
      <c r="J19" s="176"/>
      <c r="K19" s="157"/>
    </row>
    <row r="20" spans="1:13" ht="12.75">
      <c r="A20" s="165"/>
      <c r="B20" s="165"/>
      <c r="C20" s="165"/>
      <c r="D20" s="165"/>
      <c r="E20" s="165"/>
      <c r="F20" s="165"/>
      <c r="G20" s="165"/>
      <c r="H20" s="165"/>
      <c r="I20" s="165"/>
      <c r="J20" s="177"/>
      <c r="K20" s="157"/>
    </row>
    <row r="21" spans="1:13" ht="12.75">
      <c r="A21" s="165"/>
      <c r="B21" s="165"/>
      <c r="C21" s="165"/>
      <c r="D21" s="165"/>
      <c r="E21" s="165"/>
      <c r="F21" s="178" t="s">
        <v>225</v>
      </c>
      <c r="G21" s="165"/>
      <c r="H21" s="165"/>
      <c r="I21" s="165"/>
      <c r="J21" s="179">
        <f>SUM(J15:J20)</f>
        <v>324</v>
      </c>
      <c r="K21" s="157"/>
    </row>
    <row r="22" spans="1:13" ht="12.75">
      <c r="A22" s="165"/>
      <c r="B22" s="165"/>
      <c r="C22" s="165"/>
      <c r="D22" s="165"/>
      <c r="E22" s="165"/>
      <c r="F22" s="165"/>
      <c r="G22" s="165"/>
      <c r="H22" s="165"/>
      <c r="I22" s="165"/>
      <c r="J22" s="177"/>
      <c r="K22" s="157"/>
    </row>
    <row r="23" spans="1:13" ht="15">
      <c r="A23" s="167" t="s">
        <v>226</v>
      </c>
      <c r="B23" s="165"/>
      <c r="C23" s="165"/>
      <c r="D23" s="165"/>
      <c r="E23" s="165"/>
      <c r="F23" s="165"/>
      <c r="G23" s="165"/>
      <c r="H23" s="165"/>
      <c r="I23" s="165"/>
      <c r="J23" s="180"/>
      <c r="K23" s="157"/>
    </row>
    <row r="24" spans="1:13" ht="12.75">
      <c r="A24" s="165"/>
      <c r="B24" s="165"/>
      <c r="C24" s="165"/>
      <c r="D24" s="165"/>
      <c r="E24" s="165"/>
      <c r="F24" s="165"/>
      <c r="G24" s="165"/>
      <c r="I24" s="165"/>
      <c r="J24" s="177"/>
      <c r="K24" s="157"/>
    </row>
    <row r="25" spans="1:13" ht="12.75">
      <c r="A25" s="165"/>
      <c r="B25" s="165"/>
      <c r="C25" s="165"/>
      <c r="D25" s="165"/>
      <c r="E25" s="165"/>
      <c r="F25" s="165"/>
      <c r="G25" s="165"/>
      <c r="H25" s="165"/>
      <c r="I25" s="165"/>
      <c r="J25" s="177"/>
      <c r="K25" s="157"/>
    </row>
    <row r="26" spans="1:13" ht="12.75">
      <c r="A26" s="165"/>
      <c r="B26" s="165"/>
      <c r="C26" s="165"/>
      <c r="D26" s="165"/>
      <c r="E26" s="165"/>
      <c r="F26" s="165"/>
      <c r="G26" s="165"/>
      <c r="H26" s="165"/>
      <c r="I26" s="165"/>
      <c r="J26" s="177"/>
      <c r="K26" s="157"/>
    </row>
    <row r="27" spans="1:13" ht="12.75">
      <c r="A27" s="165"/>
      <c r="B27" s="165"/>
      <c r="C27" s="165"/>
      <c r="D27" s="165"/>
      <c r="E27" s="165"/>
      <c r="F27" s="178" t="s">
        <v>225</v>
      </c>
      <c r="G27" s="165"/>
      <c r="H27" s="165"/>
      <c r="I27" s="165"/>
      <c r="J27" s="179">
        <f>SUM(J23:J26)</f>
        <v>0</v>
      </c>
      <c r="K27" s="157"/>
    </row>
    <row r="28" spans="1:13" ht="12.75">
      <c r="A28" s="165"/>
      <c r="B28" s="165"/>
      <c r="C28" s="165"/>
      <c r="D28" s="165"/>
      <c r="E28" s="165"/>
      <c r="F28" s="165"/>
      <c r="G28" s="165"/>
      <c r="H28" s="165"/>
      <c r="I28" s="165"/>
      <c r="J28" s="177"/>
      <c r="K28" s="157"/>
    </row>
    <row r="29" spans="1:13" ht="12.75">
      <c r="A29" s="165"/>
      <c r="B29" s="165"/>
      <c r="C29" s="165"/>
      <c r="D29" s="165"/>
      <c r="E29" s="165"/>
      <c r="F29" s="178" t="s">
        <v>227</v>
      </c>
      <c r="G29" s="165"/>
      <c r="H29" s="165"/>
      <c r="I29" s="165"/>
      <c r="J29" s="179">
        <f>J21+J27</f>
        <v>324</v>
      </c>
      <c r="K29" s="157"/>
    </row>
    <row r="30" spans="1:13" ht="12.75">
      <c r="A30" s="165" t="s">
        <v>228</v>
      </c>
      <c r="B30" s="165"/>
      <c r="C30" s="165"/>
      <c r="D30" s="165"/>
      <c r="E30" s="165"/>
      <c r="F30" s="165"/>
      <c r="G30" s="165"/>
      <c r="H30" s="165"/>
      <c r="I30" s="165"/>
      <c r="J30" s="177"/>
      <c r="K30" s="157"/>
    </row>
    <row r="31" spans="1:13" ht="12.75">
      <c r="A31" s="181" t="s">
        <v>229</v>
      </c>
      <c r="B31" s="165"/>
      <c r="C31" s="165"/>
      <c r="D31" s="165"/>
      <c r="E31" s="165"/>
      <c r="F31" s="165"/>
      <c r="G31" s="165"/>
      <c r="H31" s="165"/>
      <c r="I31" s="165"/>
      <c r="J31" s="182">
        <f>J11-J29</f>
        <v>1764</v>
      </c>
      <c r="K31" s="157"/>
      <c r="L31" s="187"/>
      <c r="M31" s="187"/>
    </row>
    <row r="32" spans="1:13" ht="12.75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57"/>
    </row>
    <row r="33" spans="1:36" ht="12.75">
      <c r="A33" s="183" t="s">
        <v>151</v>
      </c>
      <c r="B33" s="183"/>
      <c r="C33" s="183"/>
      <c r="D33" s="183"/>
      <c r="E33" s="183"/>
      <c r="F33" s="165"/>
      <c r="G33" s="165"/>
      <c r="H33" s="165"/>
      <c r="I33" s="165"/>
      <c r="J33" s="165"/>
      <c r="K33" s="157"/>
    </row>
    <row r="34" spans="1:36" ht="12.75">
      <c r="A34" s="184" t="s">
        <v>152</v>
      </c>
      <c r="B34" s="184"/>
      <c r="C34" s="184"/>
      <c r="D34" s="184"/>
      <c r="E34" s="184"/>
      <c r="F34" s="165"/>
      <c r="G34" s="165"/>
      <c r="H34" s="165"/>
      <c r="I34" s="165"/>
      <c r="J34" s="165"/>
      <c r="K34" s="157"/>
    </row>
    <row r="35" spans="1:36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</row>
    <row r="36" spans="1:36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</row>
    <row r="37" spans="1:36">
      <c r="A37" s="157" t="s">
        <v>141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</row>
    <row r="38" spans="1:36">
      <c r="A38" s="673" t="s">
        <v>230</v>
      </c>
      <c r="B38" s="673"/>
      <c r="C38" s="673"/>
      <c r="D38" s="673"/>
      <c r="E38" s="673"/>
      <c r="F38" s="673"/>
      <c r="G38" s="673"/>
      <c r="H38" s="673"/>
      <c r="I38" s="673"/>
      <c r="J38" s="673"/>
      <c r="K38" s="157"/>
      <c r="AA38" s="185" t="str">
        <f>A38</f>
        <v xml:space="preserve">(1) Based on Actual data </v>
      </c>
      <c r="AB38" s="186" t="s">
        <v>132</v>
      </c>
      <c r="AC38" s="186"/>
      <c r="AD38" s="186"/>
      <c r="AE38" s="186"/>
      <c r="AF38" s="186"/>
      <c r="AG38" s="186"/>
      <c r="AH38" s="186"/>
      <c r="AI38" s="186"/>
      <c r="AJ38" s="186"/>
    </row>
    <row r="39" spans="1:36">
      <c r="A39" s="668" t="s">
        <v>231</v>
      </c>
      <c r="B39" s="668"/>
      <c r="C39" s="668"/>
      <c r="D39" s="668"/>
      <c r="E39" s="668"/>
      <c r="F39" s="668"/>
      <c r="G39" s="668"/>
      <c r="H39" s="668"/>
      <c r="I39" s="668"/>
      <c r="J39" s="668"/>
      <c r="K39" s="157"/>
      <c r="AA39" s="185" t="str">
        <f>A39</f>
        <v>(2) Estimate</v>
      </c>
    </row>
    <row r="40" spans="1:36">
      <c r="A40" s="668"/>
      <c r="B40" s="668"/>
      <c r="C40" s="668"/>
      <c r="D40" s="668"/>
      <c r="E40" s="668"/>
      <c r="F40" s="668"/>
      <c r="G40" s="668"/>
      <c r="H40" s="668"/>
      <c r="I40" s="668"/>
      <c r="J40" s="668"/>
      <c r="K40" s="157"/>
      <c r="AA40" s="185">
        <f>A40</f>
        <v>0</v>
      </c>
    </row>
    <row r="41" spans="1:36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</row>
    <row r="42" spans="1:36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</row>
  </sheetData>
  <mergeCells count="7">
    <mergeCell ref="A40:J40"/>
    <mergeCell ref="A1:K1"/>
    <mergeCell ref="A2:K2"/>
    <mergeCell ref="A3:K3"/>
    <mergeCell ref="A4:J4"/>
    <mergeCell ref="A38:J38"/>
    <mergeCell ref="A39:J39"/>
  </mergeCells>
  <pageMargins left="0.7" right="0.7" top="0.75" bottom="0.75" header="0.3" footer="0.3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70"/>
  <sheetViews>
    <sheetView workbookViewId="0"/>
  </sheetViews>
  <sheetFormatPr defaultRowHeight="15"/>
  <cols>
    <col min="1" max="1" width="29.42578125" bestFit="1" customWidth="1"/>
    <col min="2" max="2" width="9" bestFit="1" customWidth="1"/>
    <col min="3" max="3" width="37.140625" customWidth="1"/>
    <col min="4" max="4" width="15.5703125" customWidth="1"/>
  </cols>
  <sheetData>
    <row r="1" spans="1:8">
      <c r="A1" s="200" t="s">
        <v>337</v>
      </c>
      <c r="B1" s="201"/>
      <c r="C1" s="202" t="s">
        <v>232</v>
      </c>
      <c r="D1" s="203"/>
      <c r="E1" s="191"/>
      <c r="F1" s="191"/>
      <c r="G1" s="191"/>
      <c r="H1" s="191"/>
    </row>
    <row r="2" spans="1:8" ht="26.25">
      <c r="A2" s="196" t="s">
        <v>233</v>
      </c>
      <c r="B2" s="193" t="s">
        <v>234</v>
      </c>
      <c r="C2" s="193" t="s">
        <v>235</v>
      </c>
      <c r="D2" s="204" t="s">
        <v>236</v>
      </c>
      <c r="E2" s="191"/>
      <c r="F2" s="191"/>
      <c r="G2" s="191"/>
      <c r="H2" s="191"/>
    </row>
    <row r="3" spans="1:8">
      <c r="A3" s="205" t="s">
        <v>237</v>
      </c>
      <c r="B3" s="194"/>
      <c r="C3" s="193"/>
      <c r="D3" s="206"/>
      <c r="E3" s="191"/>
      <c r="F3" s="192"/>
      <c r="G3" s="192"/>
      <c r="H3" s="191"/>
    </row>
    <row r="4" spans="1:8">
      <c r="A4" s="207" t="s">
        <v>238</v>
      </c>
      <c r="B4" s="195">
        <v>2</v>
      </c>
      <c r="C4" s="193" t="s">
        <v>239</v>
      </c>
      <c r="D4" s="206">
        <v>12</v>
      </c>
      <c r="E4" s="191"/>
      <c r="F4" s="191"/>
      <c r="G4" s="191"/>
      <c r="H4" s="197"/>
    </row>
    <row r="5" spans="1:8">
      <c r="A5" s="207" t="s">
        <v>240</v>
      </c>
      <c r="B5" s="195">
        <v>2</v>
      </c>
      <c r="C5" s="193" t="s">
        <v>241</v>
      </c>
      <c r="D5" s="206">
        <v>2</v>
      </c>
      <c r="E5" s="191"/>
      <c r="F5" s="191"/>
      <c r="G5" s="191"/>
      <c r="H5" s="191"/>
    </row>
    <row r="6" spans="1:8">
      <c r="A6" s="207" t="s">
        <v>242</v>
      </c>
      <c r="B6" s="195">
        <v>2</v>
      </c>
      <c r="C6" s="193" t="s">
        <v>243</v>
      </c>
      <c r="D6" s="206">
        <v>4</v>
      </c>
      <c r="E6" s="191"/>
      <c r="F6" s="191"/>
      <c r="G6" s="191"/>
      <c r="H6" s="197"/>
    </row>
    <row r="7" spans="1:8">
      <c r="A7" s="207" t="s">
        <v>244</v>
      </c>
      <c r="B7" s="195">
        <v>3</v>
      </c>
      <c r="C7" s="193" t="s">
        <v>245</v>
      </c>
      <c r="D7" s="206">
        <v>3</v>
      </c>
      <c r="E7" s="191"/>
      <c r="F7" s="191"/>
      <c r="G7" s="191"/>
      <c r="H7" s="191"/>
    </row>
    <row r="8" spans="1:8">
      <c r="A8" s="207" t="s">
        <v>246</v>
      </c>
      <c r="B8" s="195">
        <v>4</v>
      </c>
      <c r="C8" s="193" t="s">
        <v>245</v>
      </c>
      <c r="D8" s="206">
        <v>4</v>
      </c>
      <c r="E8" s="191"/>
      <c r="F8" s="192"/>
      <c r="G8" s="192"/>
      <c r="H8" s="191"/>
    </row>
    <row r="9" spans="1:8">
      <c r="A9" s="207" t="s">
        <v>247</v>
      </c>
      <c r="B9" s="195">
        <v>13</v>
      </c>
      <c r="C9" s="193" t="s">
        <v>248</v>
      </c>
      <c r="D9" s="206">
        <v>13</v>
      </c>
      <c r="E9" s="191"/>
      <c r="F9" s="193"/>
      <c r="G9" s="191"/>
      <c r="H9" s="197"/>
    </row>
    <row r="10" spans="1:8">
      <c r="A10" s="208"/>
      <c r="B10" s="209"/>
      <c r="C10" s="210" t="s">
        <v>106</v>
      </c>
      <c r="D10" s="211">
        <v>38</v>
      </c>
      <c r="E10" s="191"/>
      <c r="F10" s="191"/>
      <c r="G10" s="191"/>
      <c r="H10" s="191"/>
    </row>
    <row r="11" spans="1:8">
      <c r="A11" s="191"/>
      <c r="B11" s="195"/>
      <c r="C11" s="193"/>
      <c r="D11" s="191"/>
      <c r="E11" s="191"/>
      <c r="F11" s="193"/>
      <c r="G11" s="193"/>
      <c r="H11" s="197"/>
    </row>
    <row r="12" spans="1:8">
      <c r="A12" s="212" t="s">
        <v>249</v>
      </c>
      <c r="B12" s="209"/>
      <c r="C12" s="210" t="s">
        <v>250</v>
      </c>
      <c r="D12" s="211"/>
      <c r="E12" s="191"/>
      <c r="F12" s="193"/>
      <c r="G12" s="193"/>
      <c r="H12" s="191"/>
    </row>
    <row r="13" spans="1:8" ht="26.25">
      <c r="A13" s="219" t="s">
        <v>251</v>
      </c>
      <c r="B13" s="220" t="s">
        <v>234</v>
      </c>
      <c r="C13" s="221" t="s">
        <v>235</v>
      </c>
      <c r="D13" s="222" t="s">
        <v>236</v>
      </c>
      <c r="E13" s="191"/>
      <c r="F13" s="191"/>
      <c r="G13" s="193"/>
      <c r="H13" s="197"/>
    </row>
    <row r="14" spans="1:8">
      <c r="A14" s="205" t="s">
        <v>252</v>
      </c>
      <c r="B14" s="195"/>
      <c r="C14" s="193"/>
      <c r="D14" s="206"/>
      <c r="E14" s="191"/>
      <c r="F14" s="191"/>
      <c r="G14" s="191"/>
      <c r="H14" s="191"/>
    </row>
    <row r="15" spans="1:8">
      <c r="A15" s="214" t="s">
        <v>253</v>
      </c>
      <c r="B15" s="195"/>
      <c r="C15" s="193" t="s">
        <v>254</v>
      </c>
      <c r="D15" s="206">
        <v>2</v>
      </c>
      <c r="E15" s="191"/>
      <c r="F15" s="191"/>
      <c r="G15" s="191"/>
      <c r="H15" s="191"/>
    </row>
    <row r="16" spans="1:8">
      <c r="A16" s="214" t="s">
        <v>255</v>
      </c>
      <c r="B16" s="195"/>
      <c r="C16" s="193" t="s">
        <v>256</v>
      </c>
      <c r="D16" s="206">
        <v>2</v>
      </c>
      <c r="E16" s="191"/>
      <c r="F16" s="193"/>
      <c r="G16" s="199"/>
      <c r="H16" s="198"/>
    </row>
    <row r="17" spans="1:8">
      <c r="A17" s="214" t="s">
        <v>257</v>
      </c>
      <c r="B17" s="195"/>
      <c r="C17" s="193" t="s">
        <v>258</v>
      </c>
      <c r="D17" s="206">
        <v>2</v>
      </c>
      <c r="E17" s="191"/>
      <c r="F17" s="191"/>
      <c r="G17" s="191"/>
      <c r="H17" s="191"/>
    </row>
    <row r="18" spans="1:8">
      <c r="A18" s="214" t="s">
        <v>259</v>
      </c>
      <c r="B18" s="195"/>
      <c r="C18" s="193" t="s">
        <v>260</v>
      </c>
      <c r="D18" s="206">
        <v>4</v>
      </c>
      <c r="E18" s="191"/>
      <c r="F18" s="191"/>
      <c r="G18" s="191"/>
      <c r="H18" s="191"/>
    </row>
    <row r="19" spans="1:8">
      <c r="A19" s="226"/>
      <c r="B19" s="225"/>
      <c r="C19" s="210" t="s">
        <v>106</v>
      </c>
      <c r="D19" s="211">
        <f>SUM(D15:D18)</f>
        <v>10</v>
      </c>
      <c r="E19" s="191"/>
      <c r="F19" s="191"/>
      <c r="G19" s="191"/>
      <c r="H19" s="191"/>
    </row>
    <row r="20" spans="1:8">
      <c r="A20" s="205" t="s">
        <v>312</v>
      </c>
      <c r="B20" s="195"/>
      <c r="C20" s="193"/>
      <c r="D20" s="206"/>
      <c r="E20" s="191"/>
      <c r="F20" s="191"/>
      <c r="G20" s="191"/>
      <c r="H20" s="191"/>
    </row>
    <row r="21" spans="1:8">
      <c r="A21" s="215" t="s">
        <v>261</v>
      </c>
      <c r="B21" s="195"/>
      <c r="C21" s="193" t="s">
        <v>262</v>
      </c>
      <c r="D21" s="206">
        <v>2</v>
      </c>
      <c r="E21" s="191"/>
      <c r="F21" s="191"/>
      <c r="G21" s="191"/>
      <c r="H21" s="191"/>
    </row>
    <row r="22" spans="1:8">
      <c r="A22" s="196" t="s">
        <v>263</v>
      </c>
      <c r="B22" s="195"/>
      <c r="C22" s="193" t="s">
        <v>264</v>
      </c>
      <c r="D22" s="206">
        <v>2</v>
      </c>
      <c r="E22" s="191"/>
      <c r="F22" s="191"/>
      <c r="G22" s="191"/>
      <c r="H22" s="191"/>
    </row>
    <row r="23" spans="1:8">
      <c r="A23" s="196" t="s">
        <v>265</v>
      </c>
      <c r="B23" s="195"/>
      <c r="C23" s="191" t="s">
        <v>266</v>
      </c>
      <c r="D23" s="206">
        <v>2</v>
      </c>
      <c r="E23" s="191"/>
      <c r="F23" s="191"/>
      <c r="G23" s="191"/>
      <c r="H23" s="191"/>
    </row>
    <row r="24" spans="1:8">
      <c r="A24" s="213" t="s">
        <v>267</v>
      </c>
      <c r="B24" s="195"/>
      <c r="C24" s="193" t="s">
        <v>268</v>
      </c>
      <c r="D24" s="206">
        <v>2</v>
      </c>
      <c r="E24" s="191"/>
      <c r="F24" s="191"/>
      <c r="G24" s="191"/>
      <c r="H24" s="191"/>
    </row>
    <row r="25" spans="1:8">
      <c r="A25" s="213" t="s">
        <v>269</v>
      </c>
      <c r="B25" s="195"/>
      <c r="C25" s="193" t="s">
        <v>270</v>
      </c>
      <c r="D25" s="206">
        <v>1</v>
      </c>
      <c r="E25" s="191"/>
      <c r="F25" s="191"/>
      <c r="G25" s="191"/>
      <c r="H25" s="191"/>
    </row>
    <row r="26" spans="1:8">
      <c r="A26" s="213" t="s">
        <v>271</v>
      </c>
      <c r="B26" s="195"/>
      <c r="C26" s="193" t="s">
        <v>272</v>
      </c>
      <c r="D26" s="206">
        <v>12</v>
      </c>
    </row>
    <row r="27" spans="1:8">
      <c r="A27" s="213" t="s">
        <v>273</v>
      </c>
      <c r="B27" s="195"/>
      <c r="C27" s="193" t="s">
        <v>274</v>
      </c>
      <c r="D27" s="206">
        <v>12</v>
      </c>
    </row>
    <row r="28" spans="1:8">
      <c r="A28" s="213" t="s">
        <v>275</v>
      </c>
      <c r="B28" s="195"/>
      <c r="C28" s="193" t="s">
        <v>276</v>
      </c>
      <c r="D28" s="206">
        <v>1.5</v>
      </c>
    </row>
    <row r="29" spans="1:8">
      <c r="A29" s="212"/>
      <c r="B29" s="225"/>
      <c r="C29" s="210" t="s">
        <v>106</v>
      </c>
      <c r="D29" s="211">
        <f>SUM(D21:D28)</f>
        <v>34.5</v>
      </c>
    </row>
    <row r="30" spans="1:8">
      <c r="A30" s="205" t="s">
        <v>277</v>
      </c>
      <c r="B30" s="195"/>
      <c r="C30" s="193"/>
      <c r="D30" s="206"/>
    </row>
    <row r="31" spans="1:8">
      <c r="A31" s="216" t="s">
        <v>278</v>
      </c>
      <c r="B31" s="195"/>
      <c r="C31" s="193" t="s">
        <v>279</v>
      </c>
      <c r="D31" s="206">
        <v>2</v>
      </c>
    </row>
    <row r="32" spans="1:8">
      <c r="A32" s="216" t="s">
        <v>280</v>
      </c>
      <c r="B32" s="195"/>
      <c r="C32" s="193" t="s">
        <v>279</v>
      </c>
      <c r="D32" s="206">
        <v>2</v>
      </c>
    </row>
    <row r="33" spans="1:4">
      <c r="A33" s="216" t="s">
        <v>281</v>
      </c>
      <c r="B33" s="195"/>
      <c r="C33" s="193" t="s">
        <v>279</v>
      </c>
      <c r="D33" s="206">
        <v>2</v>
      </c>
    </row>
    <row r="34" spans="1:4">
      <c r="A34" s="224"/>
      <c r="B34" s="225"/>
      <c r="C34" s="210" t="s">
        <v>106</v>
      </c>
      <c r="D34" s="211">
        <f>SUM(D31:D33)</f>
        <v>6</v>
      </c>
    </row>
    <row r="35" spans="1:4">
      <c r="A35" s="212"/>
      <c r="B35" s="210"/>
      <c r="C35" s="210" t="s">
        <v>313</v>
      </c>
      <c r="D35" s="211">
        <f>D29+D19+D34</f>
        <v>50.5</v>
      </c>
    </row>
    <row r="36" spans="1:4">
      <c r="A36" s="191"/>
      <c r="B36" s="191"/>
      <c r="C36" s="191"/>
      <c r="D36" s="191"/>
    </row>
    <row r="37" spans="1:4">
      <c r="A37" s="191"/>
      <c r="B37" s="191"/>
      <c r="C37" s="191"/>
      <c r="D37" s="191"/>
    </row>
    <row r="38" spans="1:4">
      <c r="A38" s="212" t="s">
        <v>249</v>
      </c>
      <c r="B38" s="201"/>
      <c r="C38" s="210" t="s">
        <v>282</v>
      </c>
      <c r="D38" s="203"/>
    </row>
    <row r="39" spans="1:4" ht="26.25">
      <c r="A39" s="219" t="s">
        <v>233</v>
      </c>
      <c r="B39" s="201"/>
      <c r="C39" s="221" t="s">
        <v>283</v>
      </c>
      <c r="D39" s="222" t="s">
        <v>236</v>
      </c>
    </row>
    <row r="40" spans="1:4">
      <c r="A40" s="213" t="s">
        <v>284</v>
      </c>
      <c r="B40" s="191"/>
      <c r="C40" s="193" t="s">
        <v>285</v>
      </c>
      <c r="D40" s="204"/>
    </row>
    <row r="41" spans="1:4">
      <c r="A41" s="213" t="s">
        <v>286</v>
      </c>
      <c r="B41" s="191"/>
      <c r="C41" s="193" t="s">
        <v>287</v>
      </c>
      <c r="D41" s="206"/>
    </row>
    <row r="42" spans="1:4">
      <c r="A42" s="213" t="s">
        <v>288</v>
      </c>
      <c r="B42" s="191"/>
      <c r="C42" s="193" t="s">
        <v>289</v>
      </c>
      <c r="D42" s="206"/>
    </row>
    <row r="43" spans="1:4">
      <c r="A43" s="213" t="s">
        <v>290</v>
      </c>
      <c r="B43" s="191"/>
      <c r="C43" s="193" t="s">
        <v>291</v>
      </c>
      <c r="D43" s="206"/>
    </row>
    <row r="44" spans="1:4">
      <c r="A44" s="213" t="s">
        <v>292</v>
      </c>
      <c r="B44" s="191"/>
      <c r="C44" s="193" t="s">
        <v>291</v>
      </c>
      <c r="D44" s="206"/>
    </row>
    <row r="45" spans="1:4">
      <c r="A45" s="213" t="s">
        <v>293</v>
      </c>
      <c r="B45" s="191"/>
      <c r="C45" s="193" t="s">
        <v>291</v>
      </c>
      <c r="D45" s="206"/>
    </row>
    <row r="46" spans="1:4">
      <c r="A46" s="213" t="s">
        <v>265</v>
      </c>
      <c r="B46" s="191"/>
      <c r="C46" s="193" t="s">
        <v>294</v>
      </c>
      <c r="D46" s="206"/>
    </row>
    <row r="47" spans="1:4">
      <c r="A47" s="213" t="s">
        <v>295</v>
      </c>
      <c r="B47" s="191"/>
      <c r="C47" s="193" t="s">
        <v>296</v>
      </c>
      <c r="D47" s="206"/>
    </row>
    <row r="48" spans="1:4">
      <c r="A48" s="196" t="s">
        <v>297</v>
      </c>
      <c r="B48" s="191"/>
      <c r="C48" s="193" t="s">
        <v>298</v>
      </c>
      <c r="D48" s="206"/>
    </row>
    <row r="49" spans="1:4">
      <c r="A49" s="196" t="s">
        <v>299</v>
      </c>
      <c r="B49" s="191"/>
      <c r="C49" s="193" t="s">
        <v>300</v>
      </c>
      <c r="D49" s="206"/>
    </row>
    <row r="50" spans="1:4">
      <c r="A50" s="213" t="s">
        <v>301</v>
      </c>
      <c r="B50" s="191"/>
      <c r="C50" s="193" t="s">
        <v>279</v>
      </c>
      <c r="D50" s="206"/>
    </row>
    <row r="51" spans="1:4">
      <c r="A51" s="213" t="s">
        <v>302</v>
      </c>
      <c r="B51" s="191"/>
      <c r="C51" s="193" t="s">
        <v>279</v>
      </c>
      <c r="D51" s="206"/>
    </row>
    <row r="52" spans="1:4">
      <c r="A52" s="213" t="s">
        <v>303</v>
      </c>
      <c r="B52" s="191"/>
      <c r="C52" s="193" t="s">
        <v>279</v>
      </c>
      <c r="D52" s="206"/>
    </row>
    <row r="53" spans="1:4">
      <c r="A53" s="196" t="s">
        <v>304</v>
      </c>
      <c r="B53" s="191"/>
      <c r="C53" s="193" t="s">
        <v>305</v>
      </c>
      <c r="D53" s="206"/>
    </row>
    <row r="54" spans="1:4">
      <c r="A54" s="196" t="s">
        <v>306</v>
      </c>
      <c r="B54" s="191"/>
      <c r="C54" s="193" t="s">
        <v>307</v>
      </c>
      <c r="D54" s="206"/>
    </row>
    <row r="55" spans="1:4">
      <c r="A55" s="213" t="s">
        <v>308</v>
      </c>
      <c r="B55" s="191"/>
      <c r="C55" s="193" t="s">
        <v>309</v>
      </c>
      <c r="D55" s="206"/>
    </row>
    <row r="56" spans="1:4">
      <c r="A56" s="217" t="s">
        <v>310</v>
      </c>
      <c r="B56" s="218"/>
      <c r="C56" s="218" t="s">
        <v>311</v>
      </c>
      <c r="D56" s="223"/>
    </row>
    <row r="57" spans="1:4">
      <c r="A57" s="191"/>
      <c r="B57" s="191"/>
      <c r="C57" s="191"/>
      <c r="D57" s="191"/>
    </row>
    <row r="58" spans="1:4">
      <c r="A58" s="191"/>
      <c r="B58" s="191"/>
      <c r="C58" s="191"/>
      <c r="D58" s="191"/>
    </row>
    <row r="59" spans="1:4">
      <c r="A59" s="191"/>
      <c r="B59" s="191"/>
      <c r="C59" s="191"/>
      <c r="D59" s="191"/>
    </row>
    <row r="61" spans="1:4">
      <c r="A61" s="191"/>
      <c r="B61" s="191"/>
      <c r="C61" s="191"/>
      <c r="D61" s="191"/>
    </row>
    <row r="62" spans="1:4">
      <c r="A62" s="193"/>
      <c r="B62" s="191"/>
      <c r="C62" s="191"/>
      <c r="D62" s="191"/>
    </row>
    <row r="63" spans="1:4">
      <c r="A63" s="191"/>
      <c r="B63" s="191"/>
      <c r="C63" s="191"/>
      <c r="D63" s="191"/>
    </row>
    <row r="64" spans="1:4">
      <c r="A64" s="191"/>
      <c r="B64" s="191"/>
      <c r="C64" s="191"/>
      <c r="D64" s="191"/>
    </row>
    <row r="65" spans="1:4">
      <c r="A65" s="193"/>
      <c r="B65" s="191"/>
      <c r="C65" s="191"/>
      <c r="D65" s="191"/>
    </row>
    <row r="66" spans="1:4">
      <c r="A66" s="191"/>
      <c r="B66" s="191"/>
      <c r="C66" s="191"/>
      <c r="D66" s="191"/>
    </row>
    <row r="67" spans="1:4">
      <c r="A67" s="193"/>
      <c r="B67" s="191"/>
      <c r="C67" s="191"/>
      <c r="D67" s="191"/>
    </row>
    <row r="68" spans="1:4">
      <c r="A68" s="191"/>
      <c r="B68" s="191"/>
      <c r="C68" s="191"/>
      <c r="D68" s="191"/>
    </row>
    <row r="69" spans="1:4">
      <c r="A69" s="191"/>
      <c r="B69" s="191"/>
      <c r="C69" s="191"/>
    </row>
    <row r="70" spans="1:4">
      <c r="A70" s="191"/>
      <c r="B70" s="191"/>
      <c r="C70" s="191"/>
    </row>
  </sheetData>
  <pageMargins left="0.7" right="0.7" top="0.75" bottom="0.75" header="0.3" footer="0.3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9"/>
  <sheetViews>
    <sheetView workbookViewId="0"/>
  </sheetViews>
  <sheetFormatPr defaultRowHeight="15"/>
  <cols>
    <col min="1" max="1" width="36.28515625" customWidth="1"/>
    <col min="10" max="10" width="11.5703125" bestFit="1" customWidth="1"/>
    <col min="11" max="11" width="13.85546875" customWidth="1"/>
    <col min="12" max="12" width="11" customWidth="1"/>
  </cols>
  <sheetData>
    <row r="1" spans="1:12">
      <c r="A1" s="88" t="s">
        <v>160</v>
      </c>
      <c r="B1" s="86"/>
      <c r="C1" s="282"/>
      <c r="D1" s="83"/>
      <c r="E1" s="83"/>
      <c r="F1" s="83"/>
      <c r="G1" s="83"/>
      <c r="H1" s="83"/>
      <c r="I1" s="85" t="s">
        <v>161</v>
      </c>
      <c r="J1" t="s">
        <v>338</v>
      </c>
      <c r="K1" t="s">
        <v>338</v>
      </c>
      <c r="L1" t="s">
        <v>338</v>
      </c>
    </row>
    <row r="2" spans="1:12">
      <c r="A2" s="89" t="s">
        <v>165</v>
      </c>
      <c r="B2" s="86"/>
      <c r="C2" s="282"/>
      <c r="D2" s="83"/>
      <c r="E2" s="90" t="s">
        <v>166</v>
      </c>
      <c r="F2" s="83"/>
      <c r="G2" s="90" t="s">
        <v>161</v>
      </c>
      <c r="H2" s="83"/>
      <c r="I2" s="83"/>
      <c r="J2" t="s">
        <v>361</v>
      </c>
      <c r="K2" t="s">
        <v>362</v>
      </c>
      <c r="L2" t="s">
        <v>363</v>
      </c>
    </row>
    <row r="3" spans="1:12">
      <c r="A3" s="88" t="s">
        <v>169</v>
      </c>
      <c r="B3" s="81"/>
      <c r="C3" s="283">
        <v>12</v>
      </c>
      <c r="D3" s="92" t="s">
        <v>170</v>
      </c>
      <c r="E3" s="284">
        <v>0.52</v>
      </c>
      <c r="F3" s="92" t="s">
        <v>171</v>
      </c>
      <c r="G3" s="94">
        <v>5188.59</v>
      </c>
      <c r="H3" s="95" t="s">
        <v>172</v>
      </c>
      <c r="I3" s="285">
        <f>ROUND(C3*E3*G3,0)</f>
        <v>32377</v>
      </c>
      <c r="J3" s="288">
        <f>I3/100*0.9</f>
        <v>291.39299999999997</v>
      </c>
    </row>
    <row r="4" spans="1:12" ht="25.5">
      <c r="A4" s="100" t="s">
        <v>173</v>
      </c>
      <c r="B4" s="81"/>
      <c r="C4" s="283">
        <v>3</v>
      </c>
      <c r="D4" s="92" t="s">
        <v>170</v>
      </c>
      <c r="E4" s="284">
        <v>1</v>
      </c>
      <c r="F4" s="92" t="s">
        <v>171</v>
      </c>
      <c r="G4" s="101">
        <v>3984.12</v>
      </c>
      <c r="H4" s="95" t="s">
        <v>172</v>
      </c>
      <c r="I4" s="285">
        <f t="shared" ref="I4:I13" si="0">ROUND(C4*E4*G4,0)</f>
        <v>11952</v>
      </c>
      <c r="J4" s="228">
        <f>SUM(I4+I5)*11%/100*0.9</f>
        <v>48.395159999999997</v>
      </c>
      <c r="K4" s="228">
        <f>SUM(I4+I5)*56%/100*0.9</f>
        <v>246.37536000000003</v>
      </c>
      <c r="L4" s="228">
        <f>SUM(I4+I5)*33%/100*0.9</f>
        <v>145.18548000000001</v>
      </c>
    </row>
    <row r="5" spans="1:12">
      <c r="A5" s="88" t="s">
        <v>174</v>
      </c>
      <c r="B5" s="81"/>
      <c r="C5" s="283">
        <v>9</v>
      </c>
      <c r="D5" s="92" t="s">
        <v>170</v>
      </c>
      <c r="E5" s="284">
        <v>1</v>
      </c>
      <c r="F5" s="92" t="s">
        <v>171</v>
      </c>
      <c r="G5" s="94">
        <v>4103.5200000000004</v>
      </c>
      <c r="H5" s="95" t="s">
        <v>172</v>
      </c>
      <c r="I5" s="285">
        <f t="shared" si="0"/>
        <v>36932</v>
      </c>
    </row>
    <row r="6" spans="1:12">
      <c r="A6" s="88" t="s">
        <v>175</v>
      </c>
      <c r="B6" s="81"/>
      <c r="C6" s="283">
        <v>3</v>
      </c>
      <c r="D6" s="92" t="s">
        <v>170</v>
      </c>
      <c r="E6" s="284">
        <v>1</v>
      </c>
      <c r="F6" s="92" t="s">
        <v>171</v>
      </c>
      <c r="G6" s="94">
        <v>4336.08</v>
      </c>
      <c r="H6" s="95" t="s">
        <v>172</v>
      </c>
      <c r="I6" s="285">
        <f t="shared" si="0"/>
        <v>13008</v>
      </c>
    </row>
    <row r="7" spans="1:12">
      <c r="A7" s="102" t="s">
        <v>176</v>
      </c>
      <c r="B7" s="81"/>
      <c r="C7" s="283">
        <v>9</v>
      </c>
      <c r="D7" s="92" t="s">
        <v>170</v>
      </c>
      <c r="E7" s="284">
        <v>1</v>
      </c>
      <c r="F7" s="92" t="s">
        <v>171</v>
      </c>
      <c r="G7" s="94">
        <v>4466</v>
      </c>
      <c r="H7" s="95" t="s">
        <v>172</v>
      </c>
      <c r="I7" s="285">
        <f t="shared" si="0"/>
        <v>40194</v>
      </c>
      <c r="J7" s="228">
        <f>SUM(I6+I7)*27%/100*0.9</f>
        <v>129.28085999999999</v>
      </c>
      <c r="K7" s="228">
        <f>SUM(I6+I7)*0%/100*0.9</f>
        <v>0</v>
      </c>
      <c r="L7" s="228">
        <f>SUM(I6+I7)*73%/100*0.9</f>
        <v>349.53714000000002</v>
      </c>
    </row>
    <row r="8" spans="1:12">
      <c r="A8" s="88" t="s">
        <v>177</v>
      </c>
      <c r="B8" s="81"/>
      <c r="C8" s="283">
        <v>3</v>
      </c>
      <c r="D8" s="92" t="s">
        <v>170</v>
      </c>
      <c r="E8" s="284">
        <v>1</v>
      </c>
      <c r="F8" s="92" t="s">
        <v>171</v>
      </c>
      <c r="G8" s="94">
        <v>3847.14</v>
      </c>
      <c r="H8" s="95" t="s">
        <v>172</v>
      </c>
      <c r="I8" s="285">
        <f t="shared" si="0"/>
        <v>11541</v>
      </c>
    </row>
    <row r="9" spans="1:12">
      <c r="A9" s="103" t="s">
        <v>178</v>
      </c>
      <c r="B9" s="81"/>
      <c r="C9" s="283">
        <v>9</v>
      </c>
      <c r="D9" s="92" t="s">
        <v>170</v>
      </c>
      <c r="E9" s="284">
        <v>1</v>
      </c>
      <c r="F9" s="92" t="s">
        <v>171</v>
      </c>
      <c r="G9" s="101">
        <v>3962.56</v>
      </c>
      <c r="H9" s="95" t="s">
        <v>172</v>
      </c>
      <c r="I9" s="285">
        <f t="shared" si="0"/>
        <v>35663</v>
      </c>
      <c r="J9" s="228">
        <f>SUM(I8+I9)*35%/100*0.9</f>
        <v>148.69259999999997</v>
      </c>
      <c r="K9" s="228">
        <f>SUM(I8:I9)*21%/100*0.9</f>
        <v>89.215559999999996</v>
      </c>
      <c r="L9" s="228">
        <f>SUM(I8:I9)*43%/100*0.9</f>
        <v>182.67948000000001</v>
      </c>
    </row>
    <row r="10" spans="1:12">
      <c r="A10" s="88" t="s">
        <v>179</v>
      </c>
      <c r="B10" s="81"/>
      <c r="C10" s="283">
        <v>3</v>
      </c>
      <c r="D10" s="92" t="s">
        <v>170</v>
      </c>
      <c r="E10" s="284">
        <v>1</v>
      </c>
      <c r="F10" s="92" t="s">
        <v>171</v>
      </c>
      <c r="G10" s="94">
        <v>2973.66</v>
      </c>
      <c r="H10" s="95" t="s">
        <v>172</v>
      </c>
      <c r="I10" s="285">
        <f t="shared" si="0"/>
        <v>8921</v>
      </c>
    </row>
    <row r="11" spans="1:12">
      <c r="A11" s="102" t="s">
        <v>180</v>
      </c>
      <c r="B11" s="81"/>
      <c r="C11" s="283">
        <v>9</v>
      </c>
      <c r="D11" s="92" t="s">
        <v>170</v>
      </c>
      <c r="E11" s="284">
        <v>1</v>
      </c>
      <c r="F11" s="92" t="s">
        <v>171</v>
      </c>
      <c r="G11" s="94">
        <v>3062.87</v>
      </c>
      <c r="H11" s="95" t="s">
        <v>172</v>
      </c>
      <c r="I11" s="285">
        <f t="shared" si="0"/>
        <v>27566</v>
      </c>
      <c r="J11" s="228">
        <f>SUM(I10:I11)*11%/100*0.9</f>
        <v>36.122129999999999</v>
      </c>
      <c r="K11" s="288">
        <f>SUM(I10:I11)*8%/100*0.9</f>
        <v>26.27064</v>
      </c>
      <c r="L11" s="228">
        <f>SUM(I10:I11)*80%/100*0.9</f>
        <v>262.70640000000003</v>
      </c>
    </row>
    <row r="12" spans="1:12">
      <c r="A12" s="103" t="s">
        <v>340</v>
      </c>
      <c r="B12" s="81"/>
      <c r="C12" s="283">
        <v>3</v>
      </c>
      <c r="D12" s="92" t="s">
        <v>170</v>
      </c>
      <c r="E12" s="284">
        <v>0.3</v>
      </c>
      <c r="F12" s="92" t="s">
        <v>171</v>
      </c>
      <c r="G12" s="94">
        <v>5500</v>
      </c>
      <c r="H12" s="95" t="s">
        <v>172</v>
      </c>
      <c r="I12" s="285">
        <f t="shared" si="0"/>
        <v>4950</v>
      </c>
    </row>
    <row r="13" spans="1:12">
      <c r="A13" s="88" t="s">
        <v>341</v>
      </c>
      <c r="B13" s="81"/>
      <c r="C13" s="283">
        <v>9</v>
      </c>
      <c r="D13" s="92" t="s">
        <v>170</v>
      </c>
      <c r="E13" s="284">
        <v>0.3</v>
      </c>
      <c r="F13" s="92" t="s">
        <v>171</v>
      </c>
      <c r="G13" s="101">
        <v>5665</v>
      </c>
      <c r="H13" s="95" t="s">
        <v>172</v>
      </c>
      <c r="I13" s="285">
        <f t="shared" si="0"/>
        <v>15296</v>
      </c>
      <c r="J13" s="228">
        <f>SUM(I12:I13)*30%/100*0.9</f>
        <v>54.664200000000001</v>
      </c>
    </row>
    <row r="14" spans="1:12">
      <c r="A14" s="104"/>
      <c r="B14" s="86"/>
      <c r="F14" s="10"/>
    </row>
    <row r="15" spans="1:12">
      <c r="J15" s="228">
        <f>SUM(J4:J14)</f>
        <v>417.15494999999993</v>
      </c>
      <c r="K15" s="228">
        <f>SUM(K4:K14)</f>
        <v>361.86156000000005</v>
      </c>
      <c r="L15" s="228">
        <f>SUM(L4:L14)</f>
        <v>940.10850000000005</v>
      </c>
    </row>
    <row r="20" spans="1:11">
      <c r="A20" s="88" t="s">
        <v>160</v>
      </c>
      <c r="B20" s="86"/>
      <c r="C20" s="282"/>
      <c r="D20" s="83"/>
      <c r="E20" s="83"/>
      <c r="F20" s="83"/>
      <c r="G20" s="83"/>
      <c r="H20" s="83"/>
      <c r="I20" s="85" t="s">
        <v>161</v>
      </c>
      <c r="J20" t="s">
        <v>338</v>
      </c>
      <c r="K20" t="s">
        <v>338</v>
      </c>
    </row>
    <row r="21" spans="1:11">
      <c r="A21" s="89" t="s">
        <v>165</v>
      </c>
      <c r="B21" s="86"/>
      <c r="C21" s="282"/>
      <c r="D21" s="83"/>
      <c r="E21" s="90" t="s">
        <v>166</v>
      </c>
      <c r="F21" s="83"/>
      <c r="G21" s="90" t="s">
        <v>161</v>
      </c>
      <c r="H21" s="83"/>
      <c r="I21" s="83"/>
      <c r="J21" t="s">
        <v>359</v>
      </c>
      <c r="K21" t="s">
        <v>364</v>
      </c>
    </row>
    <row r="22" spans="1:11">
      <c r="A22" s="88" t="s">
        <v>318</v>
      </c>
      <c r="B22" s="81"/>
      <c r="C22" s="283">
        <v>3</v>
      </c>
      <c r="D22" s="92" t="s">
        <v>170</v>
      </c>
      <c r="E22" s="284">
        <v>0.7</v>
      </c>
      <c r="F22" s="92" t="s">
        <v>171</v>
      </c>
      <c r="G22" s="94">
        <v>5500.14</v>
      </c>
      <c r="H22" s="95" t="s">
        <v>172</v>
      </c>
      <c r="I22" s="285">
        <f>ROUND(C22*E22*G22,0)</f>
        <v>11550</v>
      </c>
      <c r="J22" s="228">
        <f>SUM(I22:I23)*29%/100*0.9</f>
        <v>123.29639999999999</v>
      </c>
      <c r="K22" s="228">
        <f>SUM(I22:I23)*41%/100*0.9</f>
        <v>174.31559999999999</v>
      </c>
    </row>
    <row r="23" spans="1:11">
      <c r="A23" s="286" t="s">
        <v>319</v>
      </c>
      <c r="B23" s="86"/>
      <c r="C23" s="283">
        <v>9</v>
      </c>
      <c r="D23" s="92" t="s">
        <v>170</v>
      </c>
      <c r="E23" s="284">
        <v>0.7</v>
      </c>
      <c r="F23" s="92" t="s">
        <v>171</v>
      </c>
      <c r="G23" s="94">
        <v>5665.15</v>
      </c>
      <c r="H23" s="95" t="s">
        <v>172</v>
      </c>
      <c r="I23" s="285">
        <f t="shared" ref="I23:I27" si="1">ROUND(C23*E23*G23,0)</f>
        <v>35690</v>
      </c>
    </row>
    <row r="24" spans="1:11">
      <c r="A24" s="88" t="s">
        <v>320</v>
      </c>
      <c r="B24" s="81"/>
      <c r="C24" s="283">
        <v>3</v>
      </c>
      <c r="D24" s="92" t="s">
        <v>170</v>
      </c>
      <c r="E24" s="284">
        <v>1</v>
      </c>
      <c r="F24" s="92" t="s">
        <v>171</v>
      </c>
      <c r="G24" s="101">
        <v>3504.36</v>
      </c>
      <c r="H24" s="95" t="s">
        <v>172</v>
      </c>
      <c r="I24" s="285">
        <f t="shared" si="1"/>
        <v>10513</v>
      </c>
    </row>
    <row r="25" spans="1:11">
      <c r="A25" s="88" t="s">
        <v>319</v>
      </c>
      <c r="B25" s="81"/>
      <c r="C25" s="283">
        <v>9</v>
      </c>
      <c r="D25" s="92" t="s">
        <v>170</v>
      </c>
      <c r="E25" s="284">
        <v>1</v>
      </c>
      <c r="F25" s="92" t="s">
        <v>171</v>
      </c>
      <c r="G25" s="94">
        <v>3609.49</v>
      </c>
      <c r="H25" s="95" t="s">
        <v>172</v>
      </c>
      <c r="I25" s="285">
        <f t="shared" si="1"/>
        <v>32485</v>
      </c>
      <c r="J25" s="228">
        <f>SUM(I24:I25)*30%/100*0.9</f>
        <v>116.0946</v>
      </c>
      <c r="K25" s="228">
        <f>SUM(I24:I25)*70%/100*0.9</f>
        <v>270.88740000000001</v>
      </c>
    </row>
    <row r="26" spans="1:11">
      <c r="A26" s="88" t="s">
        <v>339</v>
      </c>
      <c r="B26" s="81"/>
      <c r="C26" s="283">
        <v>12</v>
      </c>
      <c r="D26" s="92" t="s">
        <v>170</v>
      </c>
      <c r="E26" s="284">
        <v>0.18</v>
      </c>
      <c r="F26" s="92" t="s">
        <v>171</v>
      </c>
      <c r="G26" s="94">
        <v>5189</v>
      </c>
      <c r="H26" s="95" t="s">
        <v>172</v>
      </c>
      <c r="I26" s="285">
        <f t="shared" si="1"/>
        <v>11208</v>
      </c>
      <c r="J26" s="228">
        <f>I26*18%/100*0.9</f>
        <v>18.156959999999998</v>
      </c>
    </row>
    <row r="27" spans="1:11">
      <c r="A27" s="102"/>
      <c r="B27" s="81"/>
      <c r="C27" s="283"/>
      <c r="D27" s="92" t="s">
        <v>170</v>
      </c>
      <c r="E27" s="284"/>
      <c r="F27" s="92" t="s">
        <v>171</v>
      </c>
      <c r="G27" s="94"/>
      <c r="H27" s="95" t="s">
        <v>172</v>
      </c>
      <c r="I27" s="285">
        <f t="shared" si="1"/>
        <v>0</v>
      </c>
    </row>
    <row r="29" spans="1:11">
      <c r="J29" s="228">
        <f>SUM(J22:J28)</f>
        <v>257.54795999999999</v>
      </c>
      <c r="K29" s="228">
        <f>SUM(K22:K28)</f>
        <v>445.20299999999997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59"/>
  <sheetViews>
    <sheetView workbookViewId="0"/>
  </sheetViews>
  <sheetFormatPr defaultColWidth="11.42578125" defaultRowHeight="15"/>
  <cols>
    <col min="1" max="1" width="26.28515625" style="109" customWidth="1"/>
    <col min="2" max="2" width="13" customWidth="1"/>
    <col min="3" max="3" width="4.140625" customWidth="1"/>
    <col min="4" max="4" width="7.42578125" customWidth="1"/>
    <col min="5" max="5" width="5.85546875" customWidth="1"/>
    <col min="6" max="6" width="2" style="10" customWidth="1"/>
    <col min="7" max="7" width="9.5703125" customWidth="1"/>
    <col min="8" max="8" width="13" customWidth="1"/>
    <col min="9" max="9" width="10.7109375" customWidth="1"/>
    <col min="10" max="10" width="0.7109375" customWidth="1"/>
    <col min="11" max="11" width="9.7109375" customWidth="1"/>
    <col min="12" max="12" width="0.5703125" customWidth="1"/>
    <col min="13" max="13" width="11.7109375" customWidth="1"/>
    <col min="14" max="14" width="0.7109375" customWidth="1"/>
    <col min="15" max="15" width="12.5703125" customWidth="1"/>
    <col min="16" max="17" width="12.28515625" customWidth="1"/>
    <col min="18" max="18" width="13.5703125" customWidth="1"/>
    <col min="19" max="19" width="1.140625" customWidth="1"/>
    <col min="20" max="20" width="11.85546875" customWidth="1"/>
    <col min="21" max="21" width="11.42578125" style="4"/>
  </cols>
  <sheetData>
    <row r="1" spans="1:23">
      <c r="A1" s="66" t="s">
        <v>130</v>
      </c>
      <c r="B1" s="67"/>
      <c r="C1" s="67"/>
      <c r="D1" s="67"/>
      <c r="E1" s="67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3" ht="14.25" customHeight="1">
      <c r="A2" s="70"/>
      <c r="B2" s="39"/>
      <c r="C2" s="39"/>
      <c r="D2" s="39"/>
      <c r="E2" s="39"/>
      <c r="F2" s="71"/>
      <c r="T2" s="46" t="s">
        <v>137</v>
      </c>
    </row>
    <row r="3" spans="1:23" ht="20.100000000000001" customHeight="1">
      <c r="A3" s="674" t="s">
        <v>317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U3" s="25"/>
    </row>
    <row r="4" spans="1:23" ht="20.100000000000001" customHeight="1">
      <c r="A4" s="72" t="s">
        <v>154</v>
      </c>
      <c r="B4" s="73"/>
      <c r="C4" s="73"/>
      <c r="D4" s="73"/>
      <c r="E4" s="73"/>
      <c r="F4" s="7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23" ht="15.75">
      <c r="A5" s="76" t="s">
        <v>155</v>
      </c>
      <c r="B5" s="77"/>
      <c r="C5" s="77"/>
      <c r="D5" s="77"/>
      <c r="E5" s="77"/>
      <c r="F5" s="78"/>
      <c r="G5" s="79"/>
      <c r="H5" s="79"/>
      <c r="I5" s="79"/>
      <c r="J5" s="69"/>
      <c r="K5" s="69"/>
      <c r="L5" s="69"/>
      <c r="M5" s="69"/>
      <c r="N5" s="69"/>
      <c r="O5" s="69"/>
      <c r="P5" s="69"/>
      <c r="Q5" s="69"/>
      <c r="R5" s="69"/>
    </row>
    <row r="6" spans="1:23">
      <c r="A6" s="80"/>
      <c r="B6" s="81"/>
      <c r="C6" s="82"/>
      <c r="D6" s="83"/>
      <c r="E6" s="83"/>
      <c r="F6" s="83"/>
      <c r="G6" s="83"/>
      <c r="H6" s="83"/>
      <c r="I6" s="84"/>
      <c r="J6" s="84"/>
      <c r="K6" s="84" t="s">
        <v>156</v>
      </c>
      <c r="L6" s="84"/>
      <c r="M6" s="85" t="s">
        <v>157</v>
      </c>
      <c r="N6" s="84"/>
      <c r="O6" s="85" t="s">
        <v>158</v>
      </c>
      <c r="P6" s="85" t="s">
        <v>158</v>
      </c>
      <c r="Q6" s="85" t="s">
        <v>159</v>
      </c>
      <c r="S6" s="86"/>
      <c r="U6" s="87"/>
      <c r="V6" s="86"/>
      <c r="W6" s="86"/>
    </row>
    <row r="7" spans="1:23">
      <c r="A7" s="88" t="s">
        <v>160</v>
      </c>
      <c r="B7" s="86"/>
      <c r="C7" s="82"/>
      <c r="D7" s="83"/>
      <c r="E7" s="83"/>
      <c r="F7" s="83"/>
      <c r="G7" s="83"/>
      <c r="H7" s="83"/>
      <c r="I7" s="85" t="s">
        <v>161</v>
      </c>
      <c r="J7" s="84"/>
      <c r="K7" s="85" t="s">
        <v>157</v>
      </c>
      <c r="L7" s="84"/>
      <c r="M7" s="85" t="s">
        <v>100</v>
      </c>
      <c r="N7" s="84"/>
      <c r="O7" s="85" t="s">
        <v>162</v>
      </c>
      <c r="P7" s="85" t="s">
        <v>162</v>
      </c>
      <c r="Q7" s="85" t="s">
        <v>163</v>
      </c>
      <c r="R7" s="85" t="s">
        <v>164</v>
      </c>
      <c r="S7" s="86"/>
      <c r="U7" s="87"/>
      <c r="V7" s="86"/>
      <c r="W7" s="86"/>
    </row>
    <row r="8" spans="1:23" ht="20.100000000000001" customHeight="1">
      <c r="A8" s="89" t="s">
        <v>165</v>
      </c>
      <c r="B8" s="86"/>
      <c r="C8" s="82"/>
      <c r="D8" s="83"/>
      <c r="E8" s="90" t="s">
        <v>166</v>
      </c>
      <c r="F8" s="83"/>
      <c r="G8" s="90" t="s">
        <v>161</v>
      </c>
      <c r="H8" s="83"/>
      <c r="I8" s="83"/>
      <c r="J8" s="86"/>
      <c r="K8" s="85" t="s">
        <v>167</v>
      </c>
      <c r="L8" s="86"/>
      <c r="M8" s="86"/>
      <c r="N8" s="86"/>
      <c r="O8" s="85" t="s">
        <v>166</v>
      </c>
      <c r="P8" s="85" t="s">
        <v>168</v>
      </c>
      <c r="Q8" s="85" t="s">
        <v>162</v>
      </c>
      <c r="R8" s="85" t="s">
        <v>100</v>
      </c>
      <c r="S8" s="86"/>
      <c r="U8" s="87"/>
      <c r="V8" s="86"/>
      <c r="W8" s="86"/>
    </row>
    <row r="9" spans="1:23" s="256" customFormat="1" ht="19.5" customHeight="1">
      <c r="A9" s="258" t="s">
        <v>318</v>
      </c>
      <c r="B9" s="259"/>
      <c r="C9" s="260">
        <v>3</v>
      </c>
      <c r="D9" s="261" t="s">
        <v>170</v>
      </c>
      <c r="E9" s="262">
        <v>0.7</v>
      </c>
      <c r="F9" s="261" t="s">
        <v>171</v>
      </c>
      <c r="G9" s="263">
        <v>5500.14</v>
      </c>
      <c r="H9" s="264" t="s">
        <v>172</v>
      </c>
      <c r="I9" s="265">
        <f>ROUND(C9*E9*G9,0)</f>
        <v>11550</v>
      </c>
      <c r="J9" s="266"/>
      <c r="K9" s="267">
        <v>0.626</v>
      </c>
      <c r="M9" s="268">
        <f>ROUND(I9*K9,0)</f>
        <v>7230</v>
      </c>
      <c r="N9" s="269"/>
      <c r="O9" s="270">
        <v>0.06</v>
      </c>
      <c r="P9" s="265">
        <f>O9*I9</f>
        <v>693</v>
      </c>
      <c r="Q9" s="265">
        <f>K9*P9</f>
        <v>433.81799999999998</v>
      </c>
      <c r="R9" s="268">
        <f>+Q9+P9+M9+I9</f>
        <v>19906.817999999999</v>
      </c>
      <c r="S9" s="266"/>
      <c r="T9" s="266"/>
      <c r="U9" s="271">
        <f t="shared" ref="U9:U12" si="0">C9*E9/12</f>
        <v>0.17499999999999996</v>
      </c>
      <c r="V9" s="266"/>
      <c r="W9" s="266"/>
    </row>
    <row r="10" spans="1:23" s="256" customFormat="1" ht="19.5" customHeight="1">
      <c r="A10" s="272" t="s">
        <v>319</v>
      </c>
      <c r="B10" s="266"/>
      <c r="C10" s="260">
        <v>9</v>
      </c>
      <c r="D10" s="261" t="s">
        <v>170</v>
      </c>
      <c r="E10" s="262">
        <v>0.7</v>
      </c>
      <c r="F10" s="261" t="s">
        <v>171</v>
      </c>
      <c r="G10" s="263">
        <v>5665.15</v>
      </c>
      <c r="H10" s="264" t="s">
        <v>172</v>
      </c>
      <c r="I10" s="265">
        <f t="shared" ref="I10:I13" si="1">ROUND(C10*E10*G10,0)</f>
        <v>35690</v>
      </c>
      <c r="J10" s="266">
        <v>17.3</v>
      </c>
      <c r="K10" s="267">
        <v>0.626</v>
      </c>
      <c r="M10" s="268">
        <f t="shared" ref="M10:M13" si="2">ROUND(I10*K10,0)</f>
        <v>22342</v>
      </c>
      <c r="N10" s="269">
        <v>9</v>
      </c>
      <c r="O10" s="270">
        <v>0.06</v>
      </c>
      <c r="P10" s="265">
        <f t="shared" ref="P10:P13" si="3">O10*I10</f>
        <v>2141.4</v>
      </c>
      <c r="Q10" s="265">
        <f t="shared" ref="Q10:Q13" si="4">K10*P10</f>
        <v>1340.5164</v>
      </c>
      <c r="R10" s="268">
        <f t="shared" ref="R10:R13" si="5">+Q10+P10+M10+I10</f>
        <v>61513.916400000002</v>
      </c>
      <c r="T10" s="266"/>
      <c r="U10" s="271">
        <f t="shared" si="0"/>
        <v>0.52500000000000002</v>
      </c>
      <c r="V10" s="266"/>
      <c r="W10" s="266"/>
    </row>
    <row r="11" spans="1:23" ht="30" customHeight="1">
      <c r="A11" s="100" t="s">
        <v>320</v>
      </c>
      <c r="B11" s="81"/>
      <c r="C11" s="91">
        <v>3</v>
      </c>
      <c r="D11" s="92" t="s">
        <v>170</v>
      </c>
      <c r="E11" s="93">
        <v>1</v>
      </c>
      <c r="F11" s="92" t="s">
        <v>171</v>
      </c>
      <c r="G11" s="101">
        <v>3504.36</v>
      </c>
      <c r="H11" s="95" t="s">
        <v>172</v>
      </c>
      <c r="I11" s="65">
        <f t="shared" si="1"/>
        <v>10513</v>
      </c>
      <c r="J11" s="86"/>
      <c r="K11" s="96">
        <v>0.626</v>
      </c>
      <c r="M11" s="97">
        <f t="shared" si="2"/>
        <v>6581</v>
      </c>
      <c r="N11" s="98"/>
      <c r="O11" s="99">
        <v>8.5000000000000006E-2</v>
      </c>
      <c r="P11" s="65">
        <f t="shared" si="3"/>
        <v>893.60500000000002</v>
      </c>
      <c r="Q11" s="65">
        <f t="shared" si="4"/>
        <v>559.39673000000005</v>
      </c>
      <c r="R11" s="97">
        <f t="shared" si="5"/>
        <v>18547.00173</v>
      </c>
      <c r="T11" s="86"/>
      <c r="U11" s="87">
        <f t="shared" si="0"/>
        <v>0.25</v>
      </c>
      <c r="V11" s="86"/>
      <c r="W11" s="86"/>
    </row>
    <row r="12" spans="1:23" ht="19.5" customHeight="1">
      <c r="A12" s="88" t="s">
        <v>319</v>
      </c>
      <c r="B12" s="81"/>
      <c r="C12" s="91">
        <v>9</v>
      </c>
      <c r="D12" s="92" t="s">
        <v>170</v>
      </c>
      <c r="E12" s="93">
        <v>1</v>
      </c>
      <c r="F12" s="92" t="s">
        <v>171</v>
      </c>
      <c r="G12" s="94">
        <v>3609.49</v>
      </c>
      <c r="H12" s="95" t="s">
        <v>172</v>
      </c>
      <c r="I12" s="65">
        <f t="shared" si="1"/>
        <v>32485</v>
      </c>
      <c r="J12" s="86"/>
      <c r="K12" s="96">
        <v>0.626</v>
      </c>
      <c r="M12" s="97">
        <f t="shared" si="2"/>
        <v>20336</v>
      </c>
      <c r="N12" s="98"/>
      <c r="O12" s="99">
        <v>8.5000000000000006E-2</v>
      </c>
      <c r="P12" s="65">
        <f t="shared" si="3"/>
        <v>2761.2250000000004</v>
      </c>
      <c r="Q12" s="65">
        <f t="shared" si="4"/>
        <v>1728.5268500000002</v>
      </c>
      <c r="R12" s="97">
        <f t="shared" si="5"/>
        <v>57310.751850000001</v>
      </c>
      <c r="T12" s="86"/>
      <c r="U12" s="87">
        <f t="shared" si="0"/>
        <v>0.75</v>
      </c>
      <c r="V12" s="86"/>
      <c r="W12" s="86"/>
    </row>
    <row r="13" spans="1:23" ht="19.5" customHeight="1">
      <c r="A13" s="88" t="s">
        <v>169</v>
      </c>
      <c r="B13" s="81"/>
      <c r="C13" s="273">
        <v>12</v>
      </c>
      <c r="D13" s="92" t="s">
        <v>170</v>
      </c>
      <c r="E13" s="274">
        <v>0.18</v>
      </c>
      <c r="F13" s="92"/>
      <c r="G13" s="275">
        <v>5189</v>
      </c>
      <c r="H13" s="95" t="s">
        <v>172</v>
      </c>
      <c r="I13" s="65">
        <f t="shared" si="1"/>
        <v>11208</v>
      </c>
      <c r="J13" s="86"/>
      <c r="K13" s="277">
        <v>0.52400000000000002</v>
      </c>
      <c r="M13" s="97">
        <f t="shared" si="2"/>
        <v>5873</v>
      </c>
      <c r="N13" s="98"/>
      <c r="O13" s="279">
        <v>7.3999999999999996E-2</v>
      </c>
      <c r="P13" s="65">
        <f t="shared" si="3"/>
        <v>829.39199999999994</v>
      </c>
      <c r="Q13" s="65">
        <f t="shared" si="4"/>
        <v>434.60140799999999</v>
      </c>
      <c r="R13" s="97">
        <f t="shared" si="5"/>
        <v>18344.993408000002</v>
      </c>
      <c r="T13" s="86"/>
      <c r="U13" s="87"/>
      <c r="V13" s="86"/>
      <c r="W13" s="86"/>
    </row>
    <row r="14" spans="1:23" ht="19.5" customHeight="1">
      <c r="A14" s="88"/>
      <c r="B14" s="81"/>
      <c r="C14" s="273"/>
      <c r="D14" s="92"/>
      <c r="E14" s="274"/>
      <c r="F14" s="92"/>
      <c r="G14" s="275"/>
      <c r="H14" s="95"/>
      <c r="I14" s="276"/>
      <c r="J14" s="86"/>
      <c r="K14" s="277"/>
      <c r="M14" s="278"/>
      <c r="N14" s="98"/>
      <c r="O14" s="279"/>
      <c r="P14" s="276"/>
      <c r="Q14" s="276"/>
      <c r="R14" s="278"/>
      <c r="T14" s="86"/>
      <c r="U14" s="87"/>
      <c r="V14" s="86"/>
      <c r="W14" s="86"/>
    </row>
    <row r="15" spans="1:23" ht="22.5" customHeight="1">
      <c r="A15" s="104"/>
      <c r="B15" s="86"/>
      <c r="V15" s="86"/>
      <c r="W15" s="86"/>
    </row>
    <row r="16" spans="1:23" ht="20.100000000000001" customHeight="1">
      <c r="A16" s="80"/>
      <c r="B16" s="86"/>
      <c r="C16" s="82"/>
      <c r="D16" s="92"/>
      <c r="E16" s="105"/>
      <c r="F16" s="92"/>
      <c r="G16" s="106"/>
      <c r="H16" s="95"/>
      <c r="I16" s="98"/>
      <c r="J16" s="86"/>
      <c r="K16" s="107"/>
      <c r="M16" s="98"/>
      <c r="N16" s="98"/>
      <c r="O16" s="98"/>
      <c r="P16" s="98"/>
      <c r="Q16" s="98"/>
      <c r="R16" s="98"/>
      <c r="T16" s="86"/>
      <c r="U16" s="4">
        <f>SUM(U9:U15)</f>
        <v>1.7</v>
      </c>
      <c r="V16" s="86"/>
      <c r="W16" s="86"/>
    </row>
    <row r="17" spans="1:23">
      <c r="A17" s="88" t="s">
        <v>181</v>
      </c>
      <c r="B17" s="81"/>
      <c r="C17" s="82"/>
      <c r="D17" s="92"/>
      <c r="E17" s="105"/>
      <c r="F17" s="92"/>
      <c r="G17" s="106"/>
      <c r="H17" s="95"/>
      <c r="I17" s="65">
        <f>SUM(I9:I16)</f>
        <v>101446</v>
      </c>
      <c r="J17" s="86"/>
      <c r="K17" s="107"/>
      <c r="M17" s="65">
        <f>SUM(M9:M16)</f>
        <v>62362</v>
      </c>
      <c r="N17" s="98"/>
      <c r="O17" s="98"/>
      <c r="P17" s="65">
        <f>SUM(P9:P16)</f>
        <v>7318.6220000000003</v>
      </c>
      <c r="Q17" s="65">
        <f>SUM(Q9:Q16)</f>
        <v>4496.8593880000008</v>
      </c>
      <c r="R17" s="65">
        <f>SUM(R9:R16)</f>
        <v>175623.48138800001</v>
      </c>
      <c r="T17" s="108"/>
      <c r="U17" s="87"/>
      <c r="V17" s="86"/>
      <c r="W17" s="86"/>
    </row>
    <row r="18" spans="1:23">
      <c r="A18" s="88" t="s">
        <v>57</v>
      </c>
      <c r="B18" s="86"/>
      <c r="C18" s="82"/>
      <c r="D18" s="92"/>
      <c r="E18" s="92"/>
      <c r="F18" s="92"/>
      <c r="G18" s="92"/>
      <c r="H18" s="92"/>
      <c r="I18" s="98"/>
      <c r="J18" s="86"/>
      <c r="K18" s="86"/>
      <c r="L18" s="86"/>
      <c r="M18" s="98"/>
      <c r="N18" s="98"/>
      <c r="O18" s="98"/>
      <c r="P18" s="98"/>
      <c r="Q18" s="98"/>
      <c r="R18" s="98"/>
      <c r="S18" s="86"/>
      <c r="T18" s="86"/>
      <c r="U18" s="87"/>
      <c r="V18" s="86"/>
      <c r="W18" s="86"/>
    </row>
    <row r="19" spans="1:23">
      <c r="A19" s="109" t="s">
        <v>182</v>
      </c>
      <c r="B19" s="81"/>
      <c r="C19" s="82"/>
      <c r="D19" s="83"/>
      <c r="E19" s="83"/>
      <c r="F19" s="83"/>
      <c r="G19" s="83"/>
      <c r="H19" s="83"/>
      <c r="J19" s="86"/>
      <c r="K19" s="86"/>
      <c r="L19" s="86"/>
      <c r="M19" s="98"/>
      <c r="N19" s="98"/>
      <c r="O19" s="98"/>
      <c r="P19" s="98"/>
      <c r="Q19" s="98"/>
      <c r="R19" s="110">
        <v>20550</v>
      </c>
      <c r="S19" s="86"/>
      <c r="T19" s="86"/>
      <c r="U19" s="87"/>
      <c r="V19" s="86"/>
      <c r="W19" s="86"/>
    </row>
    <row r="20" spans="1:23">
      <c r="A20" s="80"/>
      <c r="B20" s="81"/>
      <c r="C20" s="82"/>
      <c r="D20" s="83"/>
      <c r="E20" s="83"/>
      <c r="F20" s="83"/>
      <c r="G20" s="83"/>
      <c r="H20" s="83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6"/>
      <c r="W20" s="86"/>
    </row>
    <row r="21" spans="1:23">
      <c r="A21" s="88" t="s">
        <v>183</v>
      </c>
      <c r="B21" s="80"/>
      <c r="C21" s="111"/>
      <c r="D21" s="112"/>
      <c r="E21" s="112"/>
      <c r="F21" s="112"/>
      <c r="G21" s="112"/>
      <c r="H21" s="112"/>
      <c r="J21" s="113"/>
      <c r="K21" s="113"/>
      <c r="L21" s="113"/>
      <c r="M21" s="98"/>
      <c r="N21" s="113"/>
      <c r="O21" s="113"/>
      <c r="P21" s="113"/>
      <c r="Q21" s="113"/>
      <c r="S21" s="113"/>
      <c r="T21" s="113"/>
      <c r="U21" s="114"/>
      <c r="V21" s="113"/>
      <c r="W21" s="113"/>
    </row>
    <row r="22" spans="1:23">
      <c r="A22" s="80" t="s">
        <v>184</v>
      </c>
      <c r="B22" s="80"/>
      <c r="C22" s="111"/>
      <c r="D22" s="112"/>
      <c r="E22" s="112"/>
      <c r="F22" s="112"/>
      <c r="G22" s="112"/>
      <c r="H22" s="112"/>
      <c r="J22" s="113"/>
      <c r="K22" s="113"/>
      <c r="L22" s="113"/>
      <c r="M22" s="113"/>
      <c r="N22" s="113"/>
      <c r="O22" s="113"/>
      <c r="P22" s="113"/>
      <c r="Q22" s="113"/>
      <c r="R22" s="115"/>
      <c r="S22" s="113"/>
      <c r="T22" s="113"/>
      <c r="U22" s="114"/>
      <c r="V22" s="113"/>
      <c r="W22" s="113"/>
    </row>
    <row r="23" spans="1:23">
      <c r="A23" s="80"/>
      <c r="B23" s="80"/>
      <c r="C23" s="111"/>
      <c r="D23" s="112"/>
      <c r="E23" s="112"/>
      <c r="F23" s="112"/>
      <c r="G23" s="112"/>
      <c r="H23" s="112"/>
      <c r="J23" s="113"/>
      <c r="K23" s="113"/>
      <c r="L23" s="113"/>
      <c r="M23" s="113"/>
      <c r="N23" s="113"/>
      <c r="O23" s="113"/>
      <c r="P23" s="113"/>
      <c r="Q23" s="113"/>
      <c r="R23" s="116"/>
      <c r="S23" s="113"/>
      <c r="T23" s="113"/>
    </row>
    <row r="24" spans="1:23">
      <c r="A24" s="88" t="s">
        <v>185</v>
      </c>
      <c r="B24" s="80"/>
      <c r="C24" s="111"/>
      <c r="D24" s="112"/>
      <c r="E24" s="112"/>
      <c r="F24" s="112"/>
      <c r="G24" s="112"/>
      <c r="H24" s="112"/>
      <c r="J24" s="113"/>
      <c r="K24" s="113"/>
      <c r="L24" s="113"/>
      <c r="M24" s="113"/>
      <c r="N24" s="113"/>
      <c r="O24" s="113"/>
      <c r="P24" s="113"/>
      <c r="Q24" s="113"/>
      <c r="R24" s="117">
        <v>0</v>
      </c>
      <c r="S24" s="113"/>
      <c r="T24" s="113"/>
    </row>
    <row r="25" spans="1:23">
      <c r="A25" s="80" t="s">
        <v>186</v>
      </c>
      <c r="B25" s="109" t="s">
        <v>187</v>
      </c>
      <c r="C25" s="111"/>
      <c r="D25" s="112"/>
      <c r="E25" s="112"/>
      <c r="F25" s="112"/>
      <c r="G25" s="112"/>
      <c r="H25" s="112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</row>
    <row r="26" spans="1:23">
      <c r="A26" s="118"/>
      <c r="B26" s="80"/>
      <c r="C26" s="111"/>
      <c r="D26" s="112"/>
      <c r="E26" s="112"/>
      <c r="F26" s="112"/>
      <c r="G26" s="112"/>
      <c r="H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</row>
    <row r="27" spans="1:23">
      <c r="A27" s="88" t="s">
        <v>188</v>
      </c>
      <c r="B27" s="86"/>
      <c r="C27" s="82"/>
      <c r="D27" s="83"/>
      <c r="E27" s="83"/>
      <c r="F27" s="83"/>
      <c r="G27" s="83"/>
      <c r="H27" s="83"/>
      <c r="J27" s="86"/>
      <c r="K27" s="86"/>
      <c r="L27" s="86"/>
      <c r="M27" s="86"/>
      <c r="N27" s="86"/>
      <c r="O27" s="86"/>
      <c r="P27" s="86"/>
      <c r="Q27" s="86"/>
      <c r="R27" s="119">
        <f>SUM(R17:R24)</f>
        <v>196173.48138800001</v>
      </c>
      <c r="S27" s="86"/>
      <c r="T27" s="86"/>
    </row>
    <row r="28" spans="1:23">
      <c r="A28" s="88" t="s">
        <v>189</v>
      </c>
      <c r="B28" s="86"/>
      <c r="C28" s="82"/>
      <c r="D28" s="86" t="s">
        <v>190</v>
      </c>
      <c r="E28" s="83"/>
      <c r="F28" s="83"/>
      <c r="G28" s="83"/>
      <c r="H28" s="83"/>
      <c r="I28" s="120">
        <f>U16</f>
        <v>1.7</v>
      </c>
      <c r="J28" s="86"/>
      <c r="K28" s="86"/>
      <c r="L28" s="86"/>
      <c r="N28" s="86"/>
      <c r="O28" s="86"/>
      <c r="P28" s="86"/>
      <c r="Q28" s="86"/>
      <c r="R28" s="86"/>
      <c r="S28" s="86"/>
      <c r="V28" s="86"/>
      <c r="W28" s="86"/>
    </row>
    <row r="29" spans="1:23" ht="9" customHeight="1">
      <c r="A29" s="88"/>
      <c r="B29" s="86"/>
      <c r="C29" s="82"/>
      <c r="D29" s="86"/>
      <c r="E29" s="83"/>
      <c r="F29" s="83"/>
      <c r="G29" s="83"/>
      <c r="H29" s="83"/>
      <c r="I29" s="83"/>
      <c r="J29" s="86"/>
      <c r="K29" s="86"/>
      <c r="L29" s="86"/>
      <c r="N29" s="86"/>
      <c r="O29" s="86"/>
      <c r="P29" s="86"/>
      <c r="Q29" s="86"/>
      <c r="R29" s="86"/>
      <c r="S29" s="86"/>
      <c r="T29" s="86"/>
      <c r="U29" s="87"/>
      <c r="V29" s="86"/>
      <c r="W29" s="86"/>
    </row>
    <row r="30" spans="1:23">
      <c r="A30" s="88"/>
      <c r="B30" s="86"/>
      <c r="C30" s="82"/>
      <c r="D30" s="121" t="s">
        <v>191</v>
      </c>
      <c r="E30" s="83"/>
      <c r="F30" s="83"/>
      <c r="G30" s="83"/>
      <c r="H30" s="83"/>
      <c r="I30" s="122" t="e">
        <v>#NAME?</v>
      </c>
      <c r="J30" s="86"/>
      <c r="L30" s="86"/>
      <c r="M30" s="122" t="e">
        <f>I28*I30</f>
        <v>#NAME?</v>
      </c>
      <c r="N30" s="86"/>
      <c r="O30" s="86"/>
      <c r="P30" s="86"/>
      <c r="Q30" s="86"/>
      <c r="R30" s="123" t="e">
        <f>M34</f>
        <v>#NAME?</v>
      </c>
      <c r="S30" s="86"/>
      <c r="T30" t="s">
        <v>192</v>
      </c>
      <c r="U30" s="87"/>
      <c r="V30" s="86"/>
      <c r="W30" s="86"/>
    </row>
    <row r="31" spans="1:23" ht="9" customHeight="1">
      <c r="A31" s="88"/>
      <c r="B31" s="86"/>
      <c r="C31" s="82"/>
      <c r="D31" s="124"/>
      <c r="E31" s="83"/>
      <c r="F31" s="83"/>
      <c r="G31" s="83"/>
      <c r="H31" s="83"/>
      <c r="J31" s="86"/>
      <c r="L31" s="86"/>
      <c r="M31" s="125"/>
      <c r="N31" s="86"/>
      <c r="O31" s="86"/>
      <c r="P31" s="86"/>
      <c r="Q31" s="86"/>
      <c r="R31" s="126"/>
      <c r="S31" s="86"/>
      <c r="T31" s="127"/>
      <c r="U31" s="87"/>
      <c r="V31" s="86"/>
      <c r="W31" s="86"/>
    </row>
    <row r="32" spans="1:23" ht="12.75" customHeight="1">
      <c r="B32" s="86"/>
      <c r="D32" s="128" t="s">
        <v>193</v>
      </c>
      <c r="E32" s="129"/>
      <c r="F32" s="129"/>
      <c r="G32" s="129"/>
      <c r="H32" s="129"/>
      <c r="I32" s="130"/>
      <c r="J32" s="131"/>
      <c r="K32" s="130"/>
      <c r="L32" s="86"/>
      <c r="M32" s="132"/>
      <c r="N32" s="86"/>
      <c r="O32" s="86"/>
      <c r="P32" s="86"/>
      <c r="Q32" s="86"/>
      <c r="R32" s="130" t="s">
        <v>194</v>
      </c>
      <c r="S32" s="131"/>
      <c r="T32" s="131"/>
      <c r="U32" s="87"/>
      <c r="V32" s="86"/>
      <c r="W32" s="86"/>
    </row>
    <row r="33" spans="1:23" ht="9" customHeight="1">
      <c r="B33" s="86"/>
      <c r="D33" s="133"/>
      <c r="E33" s="83"/>
      <c r="F33" s="83"/>
      <c r="G33" s="83"/>
      <c r="H33" s="83"/>
      <c r="J33" s="86"/>
      <c r="L33" s="86"/>
      <c r="M33" s="134"/>
      <c r="N33" s="86"/>
      <c r="O33" s="86"/>
      <c r="P33" s="86"/>
      <c r="Q33" s="86"/>
      <c r="R33" s="86"/>
      <c r="S33" s="86"/>
      <c r="T33" s="86"/>
      <c r="U33" s="87"/>
      <c r="V33" s="86"/>
      <c r="W33" s="86"/>
    </row>
    <row r="34" spans="1:23">
      <c r="A34" s="80"/>
      <c r="B34" s="86"/>
      <c r="C34" s="82"/>
      <c r="D34" s="133"/>
      <c r="E34" s="135"/>
      <c r="F34" s="83"/>
      <c r="G34" s="83"/>
      <c r="H34" s="90"/>
      <c r="I34" s="136" t="s">
        <v>195</v>
      </c>
      <c r="J34" s="86"/>
      <c r="L34" s="86"/>
      <c r="M34" s="137" t="e">
        <f>M30+M32</f>
        <v>#NAME?</v>
      </c>
      <c r="N34" s="86"/>
      <c r="O34" s="86"/>
      <c r="P34" s="86"/>
      <c r="Q34" s="86"/>
      <c r="R34" s="86"/>
      <c r="S34" s="86"/>
      <c r="T34" s="86"/>
      <c r="U34" s="87"/>
      <c r="V34" s="86"/>
      <c r="W34" s="86"/>
    </row>
    <row r="35" spans="1:23">
      <c r="A35" s="88" t="s">
        <v>196</v>
      </c>
      <c r="B35" s="113"/>
      <c r="C35" s="138"/>
      <c r="D35" s="139"/>
      <c r="E35" s="139"/>
      <c r="F35" s="139"/>
      <c r="G35" s="139"/>
      <c r="H35" s="139"/>
      <c r="J35" s="113"/>
      <c r="K35" s="113"/>
      <c r="L35" s="113"/>
      <c r="M35" s="113"/>
      <c r="N35" s="113"/>
      <c r="O35" s="113"/>
      <c r="P35" s="113"/>
      <c r="Q35" s="113"/>
      <c r="R35" s="140" t="e">
        <f>SUM(R27/R30,0)</f>
        <v>#NAME?</v>
      </c>
      <c r="S35" s="113"/>
      <c r="T35" s="113"/>
      <c r="U35" s="114"/>
      <c r="V35" s="113"/>
      <c r="W35" s="113"/>
    </row>
    <row r="36" spans="1:23">
      <c r="A36" s="80"/>
      <c r="B36" s="141"/>
      <c r="C36" s="82"/>
      <c r="D36" s="83"/>
      <c r="E36" s="83"/>
      <c r="F36" s="83"/>
      <c r="G36" s="83"/>
      <c r="H36" s="142"/>
      <c r="I36" s="143"/>
      <c r="J36" s="86"/>
      <c r="K36" s="86"/>
      <c r="L36" s="86"/>
      <c r="M36" s="86"/>
      <c r="N36" s="86"/>
      <c r="O36" s="86"/>
      <c r="P36" s="86"/>
      <c r="Q36" s="86"/>
      <c r="R36" s="98"/>
      <c r="S36" s="86"/>
      <c r="T36" s="86"/>
      <c r="U36" s="87"/>
      <c r="V36" s="86"/>
      <c r="W36" s="86"/>
    </row>
    <row r="37" spans="1:23" s="86" customFormat="1" ht="15.95" customHeight="1">
      <c r="A37" s="88" t="s">
        <v>197</v>
      </c>
      <c r="B37" s="141"/>
      <c r="C37" s="82"/>
      <c r="D37" s="83"/>
      <c r="E37" s="83"/>
      <c r="F37" s="83"/>
      <c r="G37" s="83"/>
      <c r="H37" s="142"/>
      <c r="I37" s="143" t="s">
        <v>198</v>
      </c>
      <c r="R37" s="65">
        <v>0</v>
      </c>
      <c r="U37" s="144"/>
    </row>
    <row r="38" spans="1:23">
      <c r="A38" s="80" t="s">
        <v>199</v>
      </c>
      <c r="B38" s="80"/>
      <c r="C38" s="111"/>
      <c r="D38" s="112"/>
      <c r="E38" s="112"/>
      <c r="F38" s="112"/>
      <c r="G38" s="112"/>
      <c r="H38" s="112"/>
      <c r="J38" s="113"/>
      <c r="K38" s="113"/>
      <c r="L38" s="113"/>
      <c r="M38" s="113"/>
      <c r="N38" s="113"/>
      <c r="O38" s="113"/>
      <c r="P38" s="113"/>
      <c r="Q38" s="113"/>
      <c r="R38" s="116"/>
      <c r="S38" s="113"/>
      <c r="T38" s="113"/>
      <c r="U38" s="114"/>
      <c r="V38" s="113"/>
      <c r="W38" s="113"/>
    </row>
    <row r="39" spans="1:23">
      <c r="A39" s="88" t="s">
        <v>200</v>
      </c>
      <c r="B39" s="86"/>
      <c r="C39" s="82"/>
      <c r="D39" s="83"/>
      <c r="E39" s="83"/>
      <c r="F39" s="83"/>
      <c r="G39" s="83"/>
      <c r="H39" s="83"/>
      <c r="J39" s="86"/>
      <c r="K39" s="86"/>
      <c r="L39" s="86"/>
      <c r="M39" s="86"/>
      <c r="N39" s="86"/>
      <c r="O39" s="86"/>
      <c r="P39" s="86"/>
      <c r="Q39" s="86"/>
      <c r="R39" s="119">
        <f>(R27-R37)</f>
        <v>196173.48138800001</v>
      </c>
      <c r="S39" s="86"/>
      <c r="T39" s="86"/>
    </row>
    <row r="40" spans="1:23">
      <c r="A40" s="88"/>
      <c r="B40" s="86"/>
      <c r="C40" s="82"/>
      <c r="D40" s="83"/>
      <c r="E40" s="83"/>
      <c r="F40" s="83"/>
      <c r="G40" s="83"/>
      <c r="H40" s="83"/>
      <c r="J40" s="86"/>
      <c r="K40" s="86"/>
      <c r="L40" s="86"/>
      <c r="M40" s="86"/>
      <c r="N40" s="86"/>
      <c r="O40" s="86"/>
      <c r="P40" s="86"/>
      <c r="Q40" s="86"/>
      <c r="R40" s="145"/>
      <c r="S40" s="86"/>
      <c r="T40" s="86"/>
    </row>
    <row r="41" spans="1:23" s="84" customFormat="1" ht="12.75">
      <c r="A41" s="88" t="s">
        <v>201</v>
      </c>
      <c r="F41" s="146"/>
      <c r="R41" s="147" t="e">
        <f>SUM(R27-R37)/R30</f>
        <v>#NAME?</v>
      </c>
      <c r="U41" s="148"/>
    </row>
    <row r="43" spans="1:23">
      <c r="A43" s="149" t="s">
        <v>152</v>
      </c>
      <c r="B43" s="150"/>
      <c r="C43" s="150"/>
    </row>
    <row r="44" spans="1:23">
      <c r="A44" s="151" t="s">
        <v>151</v>
      </c>
      <c r="B44" s="152"/>
    </row>
    <row r="46" spans="1:23">
      <c r="A46" s="102" t="s">
        <v>202</v>
      </c>
    </row>
    <row r="48" spans="1:23">
      <c r="Q48" s="228"/>
    </row>
    <row r="56" spans="1:8">
      <c r="A56" s="153"/>
    </row>
    <row r="59" spans="1:8">
      <c r="H59" s="228"/>
    </row>
  </sheetData>
  <mergeCells count="1">
    <mergeCell ref="A3:R3"/>
  </mergeCells>
  <hyperlinks>
    <hyperlink ref="T2" r:id="rId1" location="rate" display="Need Help? Instuctions and Video Demonstration" xr:uid="{00000000-0004-0000-0F00-000000000000}"/>
  </hyperlinks>
  <pageMargins left="0.7" right="0.7" top="0.75" bottom="0.75" header="0.3" footer="0.3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2"/>
  <sheetViews>
    <sheetView workbookViewId="0"/>
  </sheetViews>
  <sheetFormatPr defaultColWidth="9.140625" defaultRowHeight="12.75"/>
  <cols>
    <col min="1" max="1" width="15.42578125" style="45" customWidth="1"/>
    <col min="2" max="2" width="41.140625" style="41" customWidth="1"/>
    <col min="3" max="3" width="14.7109375" style="44" customWidth="1"/>
    <col min="4" max="4" width="24.5703125" style="41" customWidth="1"/>
    <col min="5" max="6" width="9.140625" style="41"/>
    <col min="7" max="7" width="10.28515625" style="41" bestFit="1" customWidth="1"/>
    <col min="8" max="16384" width="9.140625" style="41"/>
  </cols>
  <sheetData>
    <row r="1" spans="1:7" ht="15.75">
      <c r="A1" s="40" t="s">
        <v>133</v>
      </c>
      <c r="C1" s="42" t="s">
        <v>135</v>
      </c>
      <c r="D1" s="41" t="s">
        <v>136</v>
      </c>
    </row>
    <row r="2" spans="1:7" ht="15">
      <c r="A2" s="43"/>
    </row>
    <row r="3" spans="1:7" ht="15.75">
      <c r="G3" s="46" t="s">
        <v>137</v>
      </c>
    </row>
    <row r="5" spans="1:7" s="50" customFormat="1" ht="31.5">
      <c r="A5" s="47" t="s">
        <v>138</v>
      </c>
      <c r="B5" s="48" t="s">
        <v>139</v>
      </c>
      <c r="C5" s="47" t="s">
        <v>140</v>
      </c>
      <c r="D5" s="49" t="s">
        <v>141</v>
      </c>
    </row>
    <row r="7" spans="1:7">
      <c r="A7" s="51"/>
      <c r="B7" s="52" t="s">
        <v>321</v>
      </c>
      <c r="C7" s="229">
        <v>4200</v>
      </c>
      <c r="D7" s="53"/>
    </row>
    <row r="8" spans="1:7">
      <c r="A8" s="54"/>
      <c r="B8" s="55" t="s">
        <v>336</v>
      </c>
      <c r="C8" s="56">
        <v>4000</v>
      </c>
      <c r="D8" s="57"/>
    </row>
    <row r="9" spans="1:7">
      <c r="A9" s="54"/>
      <c r="B9" s="55" t="s">
        <v>322</v>
      </c>
      <c r="C9" s="56">
        <v>700</v>
      </c>
      <c r="D9" s="57"/>
    </row>
    <row r="10" spans="1:7">
      <c r="A10" s="54"/>
      <c r="B10" s="55" t="s">
        <v>323</v>
      </c>
      <c r="C10" s="56">
        <v>7000</v>
      </c>
      <c r="D10" s="57"/>
    </row>
    <row r="11" spans="1:7">
      <c r="A11" s="54"/>
      <c r="B11" s="55" t="s">
        <v>324</v>
      </c>
      <c r="C11" s="56">
        <v>650</v>
      </c>
      <c r="D11" s="57" t="s">
        <v>325</v>
      </c>
    </row>
    <row r="12" spans="1:7">
      <c r="A12" s="54"/>
      <c r="B12" s="55" t="s">
        <v>326</v>
      </c>
      <c r="C12" s="56">
        <v>1500</v>
      </c>
      <c r="D12" s="57"/>
    </row>
    <row r="13" spans="1:7">
      <c r="A13" s="54"/>
      <c r="B13" s="55" t="s">
        <v>327</v>
      </c>
      <c r="C13" s="56">
        <v>2500</v>
      </c>
      <c r="D13" s="57"/>
    </row>
    <row r="14" spans="1:7">
      <c r="A14" s="54"/>
      <c r="B14" s="55"/>
      <c r="C14" s="56"/>
      <c r="D14" s="57"/>
    </row>
    <row r="15" spans="1:7">
      <c r="A15" s="54"/>
      <c r="B15" s="55"/>
      <c r="C15" s="56"/>
      <c r="D15" s="57"/>
    </row>
    <row r="16" spans="1:7">
      <c r="A16" s="54"/>
      <c r="B16" s="55"/>
      <c r="C16" s="56"/>
      <c r="D16" s="57"/>
    </row>
    <row r="17" spans="1:9">
      <c r="A17" s="54"/>
      <c r="B17" s="55"/>
      <c r="C17" s="56"/>
      <c r="D17" s="57"/>
    </row>
    <row r="18" spans="1:9">
      <c r="A18" s="54"/>
      <c r="B18" s="55"/>
      <c r="C18" s="56"/>
      <c r="D18" s="58"/>
    </row>
    <row r="19" spans="1:9">
      <c r="A19" s="54"/>
      <c r="B19" s="55"/>
      <c r="C19" s="230"/>
      <c r="D19" s="58"/>
    </row>
    <row r="20" spans="1:9">
      <c r="A20" s="231"/>
      <c r="B20" s="232"/>
      <c r="C20" s="233"/>
      <c r="D20" s="234"/>
    </row>
    <row r="21" spans="1:9">
      <c r="C21" s="59"/>
    </row>
    <row r="22" spans="1:9" s="63" customFormat="1">
      <c r="A22" s="60" t="s">
        <v>150</v>
      </c>
      <c r="B22" s="61"/>
      <c r="C22" s="62">
        <f>SUM(C7:C20)</f>
        <v>20550</v>
      </c>
    </row>
    <row r="23" spans="1:9">
      <c r="C23" s="64"/>
    </row>
    <row r="24" spans="1:9">
      <c r="C24" s="64"/>
    </row>
    <row r="25" spans="1:9" s="238" customFormat="1" ht="31.5">
      <c r="A25" s="47" t="s">
        <v>328</v>
      </c>
      <c r="B25" s="235" t="s">
        <v>329</v>
      </c>
      <c r="C25" s="236" t="s">
        <v>330</v>
      </c>
      <c r="D25" s="237" t="s">
        <v>141</v>
      </c>
      <c r="F25" s="238" t="s">
        <v>331</v>
      </c>
    </row>
    <row r="26" spans="1:9">
      <c r="A26" s="51"/>
      <c r="B26" s="239"/>
      <c r="C26" s="65"/>
      <c r="D26" s="240"/>
      <c r="F26" s="241">
        <f>C26*5%</f>
        <v>0</v>
      </c>
      <c r="G26" s="242">
        <f>C26-F26</f>
        <v>0</v>
      </c>
      <c r="H26" s="243"/>
      <c r="I26" s="243"/>
    </row>
    <row r="27" spans="1:9">
      <c r="A27" s="54"/>
      <c r="B27" s="244"/>
      <c r="C27" s="56"/>
      <c r="D27" s="57"/>
      <c r="F27" s="241">
        <f>C27*5%</f>
        <v>0</v>
      </c>
      <c r="G27" s="242">
        <f>C27-F27</f>
        <v>0</v>
      </c>
      <c r="H27" s="243"/>
      <c r="I27" s="243"/>
    </row>
    <row r="28" spans="1:9">
      <c r="A28" s="54"/>
      <c r="B28" s="244"/>
      <c r="C28" s="56"/>
      <c r="D28" s="57"/>
      <c r="F28" s="245">
        <f>SUM(F26:F27)</f>
        <v>0</v>
      </c>
      <c r="G28" s="241"/>
      <c r="H28" s="243"/>
      <c r="I28" s="243"/>
    </row>
    <row r="29" spans="1:9">
      <c r="A29" s="246"/>
      <c r="B29" s="244"/>
      <c r="C29" s="56"/>
      <c r="D29" s="57"/>
      <c r="F29" s="245"/>
      <c r="G29" s="241"/>
      <c r="H29" s="243"/>
      <c r="I29" s="243"/>
    </row>
    <row r="30" spans="1:9">
      <c r="A30" s="246"/>
      <c r="B30" s="244"/>
      <c r="C30" s="56"/>
      <c r="D30" s="57"/>
      <c r="F30" s="245"/>
      <c r="G30" s="241"/>
      <c r="H30" s="243"/>
      <c r="I30" s="243"/>
    </row>
    <row r="31" spans="1:9">
      <c r="A31" s="246"/>
      <c r="B31" s="247"/>
      <c r="C31" s="56"/>
      <c r="D31" s="57"/>
      <c r="F31" s="241"/>
    </row>
    <row r="32" spans="1:9">
      <c r="A32" s="246"/>
      <c r="B32" s="247"/>
      <c r="C32" s="56"/>
      <c r="D32" s="57"/>
      <c r="F32" s="241"/>
    </row>
    <row r="33" spans="1:7">
      <c r="A33" s="246"/>
      <c r="B33" s="247"/>
      <c r="C33" s="56"/>
      <c r="D33" s="57"/>
      <c r="F33" s="241"/>
    </row>
    <row r="34" spans="1:7">
      <c r="A34" s="248"/>
      <c r="B34" s="249"/>
      <c r="C34" s="250"/>
      <c r="D34" s="251"/>
    </row>
    <row r="35" spans="1:7">
      <c r="C35" s="64"/>
      <c r="G35" s="245"/>
    </row>
    <row r="36" spans="1:7">
      <c r="A36" s="60" t="s">
        <v>332</v>
      </c>
      <c r="B36" s="252"/>
      <c r="C36" s="253">
        <f>SUM(C26:C34)</f>
        <v>0</v>
      </c>
    </row>
    <row r="39" spans="1:7">
      <c r="A39" s="254" t="s">
        <v>151</v>
      </c>
      <c r="B39" s="254"/>
    </row>
    <row r="40" spans="1:7">
      <c r="A40" s="255" t="s">
        <v>152</v>
      </c>
      <c r="B40" s="255"/>
    </row>
    <row r="42" spans="1:7">
      <c r="A42" s="45" t="s">
        <v>333</v>
      </c>
    </row>
  </sheetData>
  <hyperlinks>
    <hyperlink ref="G3" r:id="rId1" location="budget" display="Need Help? Instuctions and Video Demonstration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AC4"/>
  <sheetViews>
    <sheetView workbookViewId="0">
      <selection activeCell="C6" sqref="C6"/>
    </sheetView>
  </sheetViews>
  <sheetFormatPr defaultRowHeight="15"/>
  <sheetData>
    <row r="1" spans="1:29">
      <c r="A1" t="s">
        <v>369</v>
      </c>
    </row>
    <row r="3" spans="1:29">
      <c r="C3" t="s">
        <v>350</v>
      </c>
      <c r="D3" t="s">
        <v>1</v>
      </c>
      <c r="E3" t="s">
        <v>125</v>
      </c>
      <c r="I3" t="s">
        <v>360</v>
      </c>
      <c r="J3" t="s">
        <v>1</v>
      </c>
      <c r="K3" t="s">
        <v>125</v>
      </c>
      <c r="O3" t="s">
        <v>13</v>
      </c>
      <c r="P3" t="s">
        <v>1</v>
      </c>
      <c r="Q3" t="s">
        <v>125</v>
      </c>
      <c r="U3" t="s">
        <v>13</v>
      </c>
      <c r="V3" t="s">
        <v>1</v>
      </c>
      <c r="W3" t="s">
        <v>125</v>
      </c>
      <c r="AA3" t="s">
        <v>13</v>
      </c>
      <c r="AB3" t="s">
        <v>1</v>
      </c>
      <c r="AC3" t="s">
        <v>125</v>
      </c>
    </row>
    <row r="4" spans="1:29">
      <c r="A4" t="s">
        <v>121</v>
      </c>
      <c r="C4">
        <v>2676</v>
      </c>
      <c r="D4">
        <v>1.5384768497566679</v>
      </c>
      <c r="E4">
        <v>139929.02558440086</v>
      </c>
      <c r="G4" t="s">
        <v>121</v>
      </c>
      <c r="I4">
        <v>1960</v>
      </c>
      <c r="J4">
        <v>1.1209911373101493</v>
      </c>
      <c r="K4">
        <v>90371.083103804034</v>
      </c>
      <c r="M4" t="s">
        <v>121</v>
      </c>
      <c r="O4">
        <v>640</v>
      </c>
      <c r="P4">
        <v>0.36074112447435858</v>
      </c>
      <c r="Q4">
        <v>28279.850241414395</v>
      </c>
      <c r="S4" t="s">
        <v>121</v>
      </c>
      <c r="U4">
        <v>1654</v>
      </c>
      <c r="V4">
        <v>0.93800136005411827</v>
      </c>
      <c r="W4">
        <v>77091.11311509127</v>
      </c>
      <c r="Y4" t="s">
        <v>121</v>
      </c>
      <c r="AA4">
        <v>1520</v>
      </c>
      <c r="AB4">
        <v>0.86178952840470613</v>
      </c>
      <c r="AC4">
        <v>71377.659987289429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A2" sqref="A2"/>
    </sheetView>
  </sheetViews>
  <sheetFormatPr defaultRowHeight="15"/>
  <sheetData>
    <row r="1" spans="1:1">
      <c r="A1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I169"/>
  <sheetViews>
    <sheetView showGridLines="0" zoomScale="90" zoomScaleNormal="90" workbookViewId="0">
      <pane ySplit="1" topLeftCell="A2" activePane="bottomLeft" state="frozen"/>
      <selection pane="bottomLeft" activeCell="H7" sqref="H7"/>
    </sheetView>
  </sheetViews>
  <sheetFormatPr defaultRowHeight="15" outlineLevelRow="2"/>
  <cols>
    <col min="1" max="1" width="19.5703125" customWidth="1"/>
    <col min="2" max="2" width="32.28515625" bestFit="1" customWidth="1"/>
    <col min="3" max="3" width="16.28515625" bestFit="1" customWidth="1"/>
    <col min="4" max="4" width="17" customWidth="1"/>
    <col min="5" max="5" width="14.85546875" style="16" bestFit="1" customWidth="1"/>
    <col min="6" max="6" width="10.7109375" customWidth="1"/>
    <col min="7" max="7" width="19.5703125" customWidth="1"/>
    <col min="8" max="8" width="32.28515625" bestFit="1" customWidth="1"/>
    <col min="9" max="9" width="16.140625" bestFit="1" customWidth="1"/>
    <col min="10" max="10" width="17" customWidth="1"/>
    <col min="11" max="11" width="14.85546875" bestFit="1" customWidth="1"/>
    <col min="12" max="12" width="10.7109375" customWidth="1"/>
    <col min="13" max="13" width="19.5703125" customWidth="1"/>
    <col min="14" max="14" width="32.28515625" bestFit="1" customWidth="1"/>
    <col min="15" max="15" width="16.140625" bestFit="1" customWidth="1"/>
    <col min="16" max="16" width="17" customWidth="1"/>
    <col min="17" max="17" width="14.85546875" bestFit="1" customWidth="1"/>
    <col min="18" max="18" width="10.7109375" customWidth="1"/>
    <col min="19" max="19" width="19.5703125" customWidth="1"/>
    <col min="20" max="20" width="32.28515625" bestFit="1" customWidth="1"/>
    <col min="21" max="21" width="16.140625" bestFit="1" customWidth="1"/>
    <col min="22" max="22" width="17" customWidth="1"/>
    <col min="23" max="23" width="14.85546875" bestFit="1" customWidth="1"/>
    <col min="24" max="24" width="10.7109375" customWidth="1"/>
    <col min="25" max="25" width="19.5703125" customWidth="1"/>
    <col min="26" max="26" width="32.28515625" bestFit="1" customWidth="1"/>
    <col min="27" max="27" width="16.140625" bestFit="1" customWidth="1"/>
    <col min="28" max="28" width="17" customWidth="1"/>
    <col min="29" max="29" width="14.85546875" bestFit="1" customWidth="1"/>
    <col min="30" max="30" width="10.7109375" customWidth="1"/>
    <col min="31" max="31" width="19.5703125" customWidth="1"/>
    <col min="32" max="32" width="32.28515625" bestFit="1" customWidth="1"/>
    <col min="33" max="33" width="16.140625" bestFit="1" customWidth="1"/>
    <col min="34" max="34" width="17" customWidth="1"/>
    <col min="35" max="35" width="14.85546875" bestFit="1" customWidth="1"/>
    <col min="37" max="64" width="9.140625" style="167"/>
  </cols>
  <sheetData>
    <row r="1" spans="1:35">
      <c r="A1" s="647" t="str">
        <f>'Productive Hours'!$Q$4</f>
        <v>Ex: Per Acre</v>
      </c>
      <c r="B1" s="647"/>
      <c r="C1" s="647"/>
      <c r="D1" s="647"/>
      <c r="E1" s="647"/>
      <c r="G1" s="647" t="str">
        <f>'Productive Hours'!$Q$5</f>
        <v>Ex: Ground Prep Acre</v>
      </c>
      <c r="H1" s="647"/>
      <c r="I1" s="647"/>
      <c r="J1" s="647"/>
      <c r="K1" s="647"/>
      <c r="M1" s="647" t="str">
        <f>'Productive Hours'!$Q$6</f>
        <v>Ex: Direct Research</v>
      </c>
      <c r="N1" s="647"/>
      <c r="O1" s="647"/>
      <c r="P1" s="647"/>
      <c r="Q1" s="647"/>
      <c r="S1" s="647" t="str">
        <f>'Productive Hours'!$Q$7</f>
        <v>Ex: Other Type</v>
      </c>
      <c r="T1" s="647"/>
      <c r="U1" s="647"/>
      <c r="V1" s="647"/>
      <c r="W1" s="647"/>
      <c r="Y1" s="647" t="str">
        <f>'Productive Hours'!$Q$8</f>
        <v>Ex: Other Type 1</v>
      </c>
      <c r="Z1" s="647"/>
      <c r="AA1" s="647"/>
      <c r="AB1" s="647"/>
      <c r="AC1" s="647"/>
      <c r="AE1" s="647" t="str">
        <f>'Productive Hours'!$Q$9</f>
        <v>Ex: Other Type 2</v>
      </c>
      <c r="AF1" s="647"/>
      <c r="AG1" s="647"/>
      <c r="AH1" s="647"/>
      <c r="AI1" s="647"/>
    </row>
    <row r="2" spans="1:35">
      <c r="A2" s="322" t="s">
        <v>345</v>
      </c>
      <c r="B2" s="337"/>
      <c r="C2" s="337"/>
      <c r="D2" s="337"/>
      <c r="E2" s="337"/>
      <c r="G2" s="322" t="s">
        <v>345</v>
      </c>
      <c r="H2" s="337"/>
      <c r="I2" s="337"/>
      <c r="J2" s="337"/>
      <c r="K2" s="337"/>
      <c r="M2" s="322" t="s">
        <v>345</v>
      </c>
      <c r="N2" s="337"/>
      <c r="O2" s="337"/>
      <c r="P2" s="337"/>
      <c r="Q2" s="337"/>
      <c r="S2" s="322" t="s">
        <v>345</v>
      </c>
      <c r="T2" s="337"/>
      <c r="U2" s="337"/>
      <c r="V2" s="337"/>
      <c r="W2" s="337"/>
      <c r="Y2" s="322" t="s">
        <v>345</v>
      </c>
      <c r="Z2" s="337"/>
      <c r="AA2" s="337"/>
      <c r="AB2" s="337"/>
      <c r="AC2" s="337"/>
      <c r="AE2" s="322" t="s">
        <v>345</v>
      </c>
      <c r="AF2" s="337"/>
      <c r="AG2" s="337"/>
      <c r="AH2" s="337"/>
      <c r="AI2" s="337"/>
    </row>
    <row r="3" spans="1:35" ht="15" customHeight="1">
      <c r="A3" s="337" t="s">
        <v>445</v>
      </c>
      <c r="B3" s="337" t="s">
        <v>55</v>
      </c>
      <c r="C3" s="337" t="s">
        <v>13</v>
      </c>
      <c r="D3" s="337" t="s">
        <v>1</v>
      </c>
      <c r="E3" s="492" t="s">
        <v>125</v>
      </c>
      <c r="G3" s="337" t="s">
        <v>445</v>
      </c>
      <c r="H3" s="337" t="s">
        <v>55</v>
      </c>
      <c r="I3" s="337" t="s">
        <v>13</v>
      </c>
      <c r="J3" s="337" t="s">
        <v>1</v>
      </c>
      <c r="K3" s="492" t="s">
        <v>125</v>
      </c>
      <c r="M3" s="337" t="s">
        <v>445</v>
      </c>
      <c r="N3" s="337" t="s">
        <v>55</v>
      </c>
      <c r="O3" s="337" t="s">
        <v>13</v>
      </c>
      <c r="P3" s="337" t="s">
        <v>1</v>
      </c>
      <c r="Q3" s="492" t="s">
        <v>125</v>
      </c>
      <c r="S3" s="337" t="s">
        <v>445</v>
      </c>
      <c r="T3" s="337" t="s">
        <v>55</v>
      </c>
      <c r="U3" s="337" t="s">
        <v>13</v>
      </c>
      <c r="V3" s="337" t="s">
        <v>1</v>
      </c>
      <c r="W3" s="492" t="s">
        <v>125</v>
      </c>
      <c r="Y3" s="337" t="s">
        <v>445</v>
      </c>
      <c r="Z3" s="337" t="s">
        <v>55</v>
      </c>
      <c r="AA3" s="337" t="s">
        <v>13</v>
      </c>
      <c r="AB3" s="337" t="s">
        <v>1</v>
      </c>
      <c r="AC3" s="492" t="s">
        <v>125</v>
      </c>
      <c r="AE3" s="337" t="s">
        <v>445</v>
      </c>
      <c r="AF3" s="337" t="s">
        <v>55</v>
      </c>
      <c r="AG3" s="337" t="s">
        <v>13</v>
      </c>
      <c r="AH3" s="337" t="s">
        <v>1</v>
      </c>
      <c r="AI3" s="492" t="s">
        <v>125</v>
      </c>
    </row>
    <row r="4" spans="1:35" ht="15" customHeight="1">
      <c r="A4" s="309">
        <v>1</v>
      </c>
      <c r="B4" s="305" t="str">
        <f>'Productive Hours'!$B14</f>
        <v xml:space="preserve">   </v>
      </c>
      <c r="C4" s="304">
        <f>+'Productive Hours'!$P14</f>
        <v>0</v>
      </c>
      <c r="D4" s="477">
        <f>IFERROR('Productive Hours'!$D14*'Productive Hours'!$Q14,0)</f>
        <v>0</v>
      </c>
      <c r="E4" s="304">
        <f>IFERROR('Productive Hours'!$E14/'Productive Hours'!$D14*'Rate summary'!$D4,0)</f>
        <v>0</v>
      </c>
      <c r="G4" s="309">
        <f>A4</f>
        <v>1</v>
      </c>
      <c r="H4" s="305" t="str">
        <f>'Productive Hours'!$B14</f>
        <v xml:space="preserve">   </v>
      </c>
      <c r="I4" s="304">
        <f>IFERROR('Productive Hours'!$R14,0)</f>
        <v>0</v>
      </c>
      <c r="J4" s="477">
        <f>IFERROR('Productive Hours'!$D14*'Productive Hours'!$S14,0)</f>
        <v>0</v>
      </c>
      <c r="K4" s="304">
        <f>IFERROR('Productive Hours'!$E14/'Productive Hours'!$D14*'Rate summary'!$J4,0)</f>
        <v>0</v>
      </c>
      <c r="M4" s="309">
        <f>A4</f>
        <v>1</v>
      </c>
      <c r="N4" s="305" t="str">
        <f>'Productive Hours'!$B14</f>
        <v xml:space="preserve">   </v>
      </c>
      <c r="O4" s="304">
        <f>IFERROR('Productive Hours'!$T14,0)</f>
        <v>0</v>
      </c>
      <c r="P4" s="477">
        <f>IFERROR('Productive Hours'!$D14*'Productive Hours'!$U14,0)</f>
        <v>0</v>
      </c>
      <c r="Q4" s="304">
        <f>IFERROR('Productive Hours'!$E14/'Productive Hours'!$D14*'Rate summary'!$P4,0)</f>
        <v>0</v>
      </c>
      <c r="S4" s="309">
        <f>G4</f>
        <v>1</v>
      </c>
      <c r="T4" s="305" t="str">
        <f>'Productive Hours'!$B14</f>
        <v xml:space="preserve">   </v>
      </c>
      <c r="U4" s="304">
        <f>IFERROR('Productive Hours'!$V14,0)</f>
        <v>0</v>
      </c>
      <c r="V4" s="477">
        <f>IFERROR('Productive Hours'!$D14*'Productive Hours'!$W14,0)</f>
        <v>0</v>
      </c>
      <c r="W4" s="304">
        <f>IFERROR('Productive Hours'!$E14/'Productive Hours'!$D14*'Rate summary'!$V4,0)</f>
        <v>0</v>
      </c>
      <c r="Y4" s="309">
        <f>M4</f>
        <v>1</v>
      </c>
      <c r="Z4" s="305" t="str">
        <f>'Productive Hours'!$B14</f>
        <v xml:space="preserve">   </v>
      </c>
      <c r="AA4" s="304">
        <f>IFERROR('Productive Hours'!$X14,0)</f>
        <v>0</v>
      </c>
      <c r="AB4" s="477">
        <f>IFERROR('Productive Hours'!$D14*'Productive Hours'!$Y14,0)</f>
        <v>0</v>
      </c>
      <c r="AC4" s="304">
        <f>IFERROR('Productive Hours'!$E14/'Productive Hours'!$D14*'Rate summary'!$AB4,0)</f>
        <v>0</v>
      </c>
      <c r="AE4" s="309">
        <f>S4</f>
        <v>1</v>
      </c>
      <c r="AF4" s="305" t="str">
        <f>'Productive Hours'!$B14</f>
        <v xml:space="preserve">   </v>
      </c>
      <c r="AG4" s="304">
        <f>IFERROR('Productive Hours'!$Z14,0)</f>
        <v>0</v>
      </c>
      <c r="AH4" s="477">
        <f>IFERROR('Productive Hours'!$D14*'Productive Hours'!$AA14,0)</f>
        <v>0</v>
      </c>
      <c r="AI4" s="304">
        <f>IFERROR('Productive Hours'!$E14/'Productive Hours'!$D14*'Rate summary'!$AH4,0)</f>
        <v>0</v>
      </c>
    </row>
    <row r="5" spans="1:35" ht="15" customHeight="1">
      <c r="A5" s="309">
        <v>2</v>
      </c>
      <c r="B5" s="305" t="str">
        <f>'Productive Hours'!$B15</f>
        <v xml:space="preserve">   </v>
      </c>
      <c r="C5" s="304">
        <f>+'Productive Hours'!$P15</f>
        <v>0</v>
      </c>
      <c r="D5" s="477">
        <f>IFERROR('Productive Hours'!$D15*'Productive Hours'!$Q15,0)</f>
        <v>0</v>
      </c>
      <c r="E5" s="304">
        <f>IFERROR('Productive Hours'!$E15/'Productive Hours'!$D15*'Rate summary'!$D5,0)</f>
        <v>0</v>
      </c>
      <c r="G5" s="309">
        <f t="shared" ref="G5:G23" si="0">A5</f>
        <v>2</v>
      </c>
      <c r="H5" s="305" t="str">
        <f>'Productive Hours'!$B15</f>
        <v xml:space="preserve">   </v>
      </c>
      <c r="I5" s="304">
        <f>IFERROR('Productive Hours'!$R15,0)</f>
        <v>0</v>
      </c>
      <c r="J5" s="477">
        <f>IFERROR('Productive Hours'!$D15*'Productive Hours'!$S15,0)</f>
        <v>0</v>
      </c>
      <c r="K5" s="304">
        <f>IFERROR('Productive Hours'!$E15/'Productive Hours'!$D15*'Rate summary'!$J5,0)</f>
        <v>0</v>
      </c>
      <c r="M5" s="309">
        <f t="shared" ref="M5:M23" si="1">A5</f>
        <v>2</v>
      </c>
      <c r="N5" s="305" t="str">
        <f>'Productive Hours'!$B15</f>
        <v xml:space="preserve">   </v>
      </c>
      <c r="O5" s="304">
        <f>IFERROR('Productive Hours'!$T15,0)</f>
        <v>0</v>
      </c>
      <c r="P5" s="477">
        <f>IFERROR('Productive Hours'!$D15*'Productive Hours'!$U15,0)</f>
        <v>0</v>
      </c>
      <c r="Q5" s="304">
        <f>IFERROR('Productive Hours'!$E15/'Productive Hours'!$D15*'Rate summary'!$P5,0)</f>
        <v>0</v>
      </c>
      <c r="S5" s="309">
        <f t="shared" ref="S5:S23" si="2">G5</f>
        <v>2</v>
      </c>
      <c r="T5" s="305" t="str">
        <f>'Productive Hours'!$B15</f>
        <v xml:space="preserve">   </v>
      </c>
      <c r="U5" s="304">
        <f>IFERROR('Productive Hours'!$V15,0)</f>
        <v>0</v>
      </c>
      <c r="V5" s="477">
        <f>IFERROR('Productive Hours'!$D15*'Productive Hours'!$W15,0)</f>
        <v>0</v>
      </c>
      <c r="W5" s="304">
        <f>IFERROR('Productive Hours'!$E15/'Productive Hours'!$D15*'Rate summary'!$V5,0)</f>
        <v>0</v>
      </c>
      <c r="Y5" s="309">
        <f t="shared" ref="Y5:Y23" si="3">M5</f>
        <v>2</v>
      </c>
      <c r="Z5" s="305" t="str">
        <f>'Productive Hours'!$B15</f>
        <v xml:space="preserve">   </v>
      </c>
      <c r="AA5" s="304">
        <f>IFERROR('Productive Hours'!$X15,0)</f>
        <v>0</v>
      </c>
      <c r="AB5" s="477">
        <f>IFERROR('Productive Hours'!$D15*'Productive Hours'!$Y15,0)</f>
        <v>0</v>
      </c>
      <c r="AC5" s="304">
        <f>IFERROR('Productive Hours'!$E15/'Productive Hours'!$D15*'Rate summary'!$AB5,0)</f>
        <v>0</v>
      </c>
      <c r="AE5" s="309">
        <f t="shared" ref="AE5:AE23" si="4">S5</f>
        <v>2</v>
      </c>
      <c r="AF5" s="305" t="str">
        <f>'Productive Hours'!$B15</f>
        <v xml:space="preserve">   </v>
      </c>
      <c r="AG5" s="304">
        <f>IFERROR('Productive Hours'!$Z15,0)</f>
        <v>0</v>
      </c>
      <c r="AH5" s="477">
        <f>IFERROR('Productive Hours'!$D15*'Productive Hours'!$AA15,0)</f>
        <v>0</v>
      </c>
      <c r="AI5" s="304">
        <f>IFERROR('Productive Hours'!$E15/'Productive Hours'!$D15*'Rate summary'!$AH5,0)</f>
        <v>0</v>
      </c>
    </row>
    <row r="6" spans="1:35" ht="15" customHeight="1">
      <c r="A6" s="309">
        <v>3</v>
      </c>
      <c r="B6" s="305" t="str">
        <f>'Productive Hours'!$B16</f>
        <v xml:space="preserve">   </v>
      </c>
      <c r="C6" s="304">
        <f>+'Productive Hours'!$P16</f>
        <v>0</v>
      </c>
      <c r="D6" s="477">
        <f>IFERROR('Productive Hours'!$D16*'Productive Hours'!$Q16,0)</f>
        <v>0</v>
      </c>
      <c r="E6" s="304">
        <f>IFERROR('Productive Hours'!$E16/'Productive Hours'!$D16*'Rate summary'!$D6,0)</f>
        <v>0</v>
      </c>
      <c r="G6" s="309">
        <f t="shared" si="0"/>
        <v>3</v>
      </c>
      <c r="H6" s="305" t="str">
        <f>'Productive Hours'!$B16</f>
        <v xml:space="preserve">   </v>
      </c>
      <c r="I6" s="304">
        <f>IFERROR('Productive Hours'!$R16,0)</f>
        <v>0</v>
      </c>
      <c r="J6" s="477">
        <f>IFERROR('Productive Hours'!$D16*'Productive Hours'!$S16,0)</f>
        <v>0</v>
      </c>
      <c r="K6" s="304">
        <f>IFERROR('Productive Hours'!$E16/'Productive Hours'!$D16*'Rate summary'!$J6,0)</f>
        <v>0</v>
      </c>
      <c r="M6" s="309">
        <f t="shared" si="1"/>
        <v>3</v>
      </c>
      <c r="N6" s="305" t="str">
        <f>'Productive Hours'!$B16</f>
        <v xml:space="preserve">   </v>
      </c>
      <c r="O6" s="304">
        <f>IFERROR('Productive Hours'!$T16,0)</f>
        <v>0</v>
      </c>
      <c r="P6" s="477">
        <f>IFERROR('Productive Hours'!$D16*'Productive Hours'!$U16,0)</f>
        <v>0</v>
      </c>
      <c r="Q6" s="304">
        <f>IFERROR('Productive Hours'!$E16/'Productive Hours'!$D16*'Rate summary'!$P6,0)</f>
        <v>0</v>
      </c>
      <c r="S6" s="309">
        <f t="shared" si="2"/>
        <v>3</v>
      </c>
      <c r="T6" s="305" t="str">
        <f>'Productive Hours'!$B16</f>
        <v xml:space="preserve">   </v>
      </c>
      <c r="U6" s="304">
        <f>IFERROR('Productive Hours'!$V16,0)</f>
        <v>0</v>
      </c>
      <c r="V6" s="477">
        <f>IFERROR('Productive Hours'!$D16*'Productive Hours'!$W16,0)</f>
        <v>0</v>
      </c>
      <c r="W6" s="304">
        <f>IFERROR('Productive Hours'!$E16/'Productive Hours'!$D16*'Rate summary'!$V6,0)</f>
        <v>0</v>
      </c>
      <c r="Y6" s="309">
        <f t="shared" si="3"/>
        <v>3</v>
      </c>
      <c r="Z6" s="305" t="str">
        <f>'Productive Hours'!$B16</f>
        <v xml:space="preserve">   </v>
      </c>
      <c r="AA6" s="304">
        <f>IFERROR('Productive Hours'!$X16,0)</f>
        <v>0</v>
      </c>
      <c r="AB6" s="477">
        <f>IFERROR('Productive Hours'!$D16*'Productive Hours'!$Y16,0)</f>
        <v>0</v>
      </c>
      <c r="AC6" s="304">
        <f>IFERROR('Productive Hours'!$E16/'Productive Hours'!$D16*'Rate summary'!$AB6,0)</f>
        <v>0</v>
      </c>
      <c r="AE6" s="309">
        <f t="shared" si="4"/>
        <v>3</v>
      </c>
      <c r="AF6" s="305" t="str">
        <f>'Productive Hours'!$B16</f>
        <v xml:space="preserve">   </v>
      </c>
      <c r="AG6" s="304">
        <f>IFERROR('Productive Hours'!$Z16,0)</f>
        <v>0</v>
      </c>
      <c r="AH6" s="477">
        <f>IFERROR('Productive Hours'!$D16*'Productive Hours'!$AA16,0)</f>
        <v>0</v>
      </c>
      <c r="AI6" s="304">
        <f>IFERROR('Productive Hours'!$E16/'Productive Hours'!$D16*'Rate summary'!$AH6,0)</f>
        <v>0</v>
      </c>
    </row>
    <row r="7" spans="1:35" ht="15" customHeight="1">
      <c r="A7" s="309">
        <v>4</v>
      </c>
      <c r="B7" s="305" t="str">
        <f>'Productive Hours'!$B17</f>
        <v xml:space="preserve">   </v>
      </c>
      <c r="C7" s="304">
        <f>+'Productive Hours'!$P17</f>
        <v>0</v>
      </c>
      <c r="D7" s="477">
        <f>IFERROR('Productive Hours'!$D17*'Productive Hours'!$Q17,0)</f>
        <v>0</v>
      </c>
      <c r="E7" s="304">
        <f>IFERROR('Productive Hours'!$E17/'Productive Hours'!$D17*'Rate summary'!$D7,0)</f>
        <v>0</v>
      </c>
      <c r="G7" s="309">
        <f t="shared" si="0"/>
        <v>4</v>
      </c>
      <c r="H7" s="305" t="str">
        <f>'Productive Hours'!$B17</f>
        <v xml:space="preserve">   </v>
      </c>
      <c r="I7" s="304">
        <f>IFERROR('Productive Hours'!$R17,0)</f>
        <v>0</v>
      </c>
      <c r="J7" s="477">
        <f>IFERROR('Productive Hours'!$D17*'Productive Hours'!$S17,0)</f>
        <v>0</v>
      </c>
      <c r="K7" s="304">
        <f>IFERROR('Productive Hours'!$E17/'Productive Hours'!$D17*'Rate summary'!$J7,0)</f>
        <v>0</v>
      </c>
      <c r="M7" s="309">
        <f t="shared" si="1"/>
        <v>4</v>
      </c>
      <c r="N7" s="305" t="str">
        <f>'Productive Hours'!$B17</f>
        <v xml:space="preserve">   </v>
      </c>
      <c r="O7" s="304">
        <f>IFERROR('Productive Hours'!$T17,0)</f>
        <v>0</v>
      </c>
      <c r="P7" s="477">
        <f>IFERROR('Productive Hours'!$D17*'Productive Hours'!$U17,0)</f>
        <v>0</v>
      </c>
      <c r="Q7" s="304">
        <f>IFERROR('Productive Hours'!$E17/'Productive Hours'!$D17*'Rate summary'!$P7,0)</f>
        <v>0</v>
      </c>
      <c r="S7" s="309">
        <f t="shared" si="2"/>
        <v>4</v>
      </c>
      <c r="T7" s="305" t="str">
        <f>'Productive Hours'!$B17</f>
        <v xml:space="preserve">   </v>
      </c>
      <c r="U7" s="304">
        <f>IFERROR('Productive Hours'!$V17,0)</f>
        <v>0</v>
      </c>
      <c r="V7" s="477">
        <f>IFERROR('Productive Hours'!$D17*'Productive Hours'!$W17,0)</f>
        <v>0</v>
      </c>
      <c r="W7" s="304">
        <f>IFERROR('Productive Hours'!$E17/'Productive Hours'!$D17*'Rate summary'!$V7,0)</f>
        <v>0</v>
      </c>
      <c r="Y7" s="309">
        <f t="shared" si="3"/>
        <v>4</v>
      </c>
      <c r="Z7" s="305" t="str">
        <f>'Productive Hours'!$B17</f>
        <v xml:space="preserve">   </v>
      </c>
      <c r="AA7" s="304">
        <f>IFERROR('Productive Hours'!$X17,0)</f>
        <v>0</v>
      </c>
      <c r="AB7" s="477">
        <f>IFERROR('Productive Hours'!$D17*'Productive Hours'!$Y17,0)</f>
        <v>0</v>
      </c>
      <c r="AC7" s="304">
        <f>IFERROR('Productive Hours'!$E17/'Productive Hours'!$D17*'Rate summary'!$AB7,0)</f>
        <v>0</v>
      </c>
      <c r="AE7" s="309">
        <f t="shared" si="4"/>
        <v>4</v>
      </c>
      <c r="AF7" s="305" t="str">
        <f>'Productive Hours'!$B17</f>
        <v xml:space="preserve">   </v>
      </c>
      <c r="AG7" s="304">
        <f>IFERROR('Productive Hours'!$Z17,0)</f>
        <v>0</v>
      </c>
      <c r="AH7" s="477">
        <f>IFERROR('Productive Hours'!$D17*'Productive Hours'!$AA17,0)</f>
        <v>0</v>
      </c>
      <c r="AI7" s="304">
        <f>IFERROR('Productive Hours'!$E17/'Productive Hours'!$D17*'Rate summary'!$AH7,0)</f>
        <v>0</v>
      </c>
    </row>
    <row r="8" spans="1:35" ht="15" customHeight="1">
      <c r="A8" s="309">
        <v>5</v>
      </c>
      <c r="B8" s="305" t="str">
        <f>'Productive Hours'!$B18</f>
        <v xml:space="preserve">   </v>
      </c>
      <c r="C8" s="304">
        <f>+'Productive Hours'!$P18</f>
        <v>0</v>
      </c>
      <c r="D8" s="477">
        <f>IFERROR('Productive Hours'!$D18*'Productive Hours'!$Q18,0)</f>
        <v>0</v>
      </c>
      <c r="E8" s="304">
        <f>IFERROR('Productive Hours'!$E18/'Productive Hours'!$D18*'Rate summary'!$D8,0)</f>
        <v>0</v>
      </c>
      <c r="G8" s="309">
        <f t="shared" si="0"/>
        <v>5</v>
      </c>
      <c r="H8" s="305" t="str">
        <f>'Productive Hours'!$B18</f>
        <v xml:space="preserve">   </v>
      </c>
      <c r="I8" s="304">
        <f>IFERROR('Productive Hours'!$R18,0)</f>
        <v>0</v>
      </c>
      <c r="J8" s="477">
        <f>IFERROR('Productive Hours'!$D18*'Productive Hours'!$S18,0)</f>
        <v>0</v>
      </c>
      <c r="K8" s="304">
        <f>IFERROR('Productive Hours'!$E18/'Productive Hours'!$D18*'Rate summary'!$J8,0)</f>
        <v>0</v>
      </c>
      <c r="M8" s="309">
        <f t="shared" si="1"/>
        <v>5</v>
      </c>
      <c r="N8" s="305" t="str">
        <f>'Productive Hours'!$B18</f>
        <v xml:space="preserve">   </v>
      </c>
      <c r="O8" s="304">
        <f>IFERROR('Productive Hours'!$T18,0)</f>
        <v>0</v>
      </c>
      <c r="P8" s="477">
        <f>IFERROR('Productive Hours'!$D18*'Productive Hours'!$U18,0)</f>
        <v>0</v>
      </c>
      <c r="Q8" s="304">
        <f>IFERROR('Productive Hours'!$E18/'Productive Hours'!$D18*'Rate summary'!$P8,0)</f>
        <v>0</v>
      </c>
      <c r="S8" s="309">
        <f t="shared" si="2"/>
        <v>5</v>
      </c>
      <c r="T8" s="305" t="str">
        <f>'Productive Hours'!$B18</f>
        <v xml:space="preserve">   </v>
      </c>
      <c r="U8" s="304">
        <f>IFERROR('Productive Hours'!$V18,0)</f>
        <v>0</v>
      </c>
      <c r="V8" s="477">
        <f>IFERROR('Productive Hours'!$D18*'Productive Hours'!$W18,0)</f>
        <v>0</v>
      </c>
      <c r="W8" s="304">
        <f>IFERROR('Productive Hours'!$E18/'Productive Hours'!$D18*'Rate summary'!$V8,0)</f>
        <v>0</v>
      </c>
      <c r="Y8" s="309">
        <f t="shared" si="3"/>
        <v>5</v>
      </c>
      <c r="Z8" s="305" t="str">
        <f>'Productive Hours'!$B18</f>
        <v xml:space="preserve">   </v>
      </c>
      <c r="AA8" s="304">
        <f>IFERROR('Productive Hours'!$X18,0)</f>
        <v>0</v>
      </c>
      <c r="AB8" s="477">
        <f>IFERROR('Productive Hours'!$D18*'Productive Hours'!$Y18,0)</f>
        <v>0</v>
      </c>
      <c r="AC8" s="304">
        <f>IFERROR('Productive Hours'!$E18/'Productive Hours'!$D18*'Rate summary'!$AB8,0)</f>
        <v>0</v>
      </c>
      <c r="AE8" s="309">
        <f t="shared" si="4"/>
        <v>5</v>
      </c>
      <c r="AF8" s="305" t="str">
        <f>'Productive Hours'!$B18</f>
        <v xml:space="preserve">   </v>
      </c>
      <c r="AG8" s="304">
        <f>IFERROR('Productive Hours'!$Z18,0)</f>
        <v>0</v>
      </c>
      <c r="AH8" s="477">
        <f>IFERROR('Productive Hours'!$D18*'Productive Hours'!$AA18,0)</f>
        <v>0</v>
      </c>
      <c r="AI8" s="304">
        <f>IFERROR('Productive Hours'!$E18/'Productive Hours'!$D18*'Rate summary'!$AH8,0)</f>
        <v>0</v>
      </c>
    </row>
    <row r="9" spans="1:35" ht="15" customHeight="1">
      <c r="A9" s="309">
        <v>6</v>
      </c>
      <c r="B9" s="305" t="str">
        <f>'Productive Hours'!$B19</f>
        <v xml:space="preserve">   </v>
      </c>
      <c r="C9" s="304">
        <f>+'Productive Hours'!$P19</f>
        <v>0</v>
      </c>
      <c r="D9" s="477">
        <f>IFERROR('Productive Hours'!$D19*'Productive Hours'!$Q19,0)</f>
        <v>0</v>
      </c>
      <c r="E9" s="304">
        <f>IFERROR('Productive Hours'!$E19/'Productive Hours'!$D19*'Rate summary'!$D9,0)</f>
        <v>0</v>
      </c>
      <c r="G9" s="309">
        <f t="shared" si="0"/>
        <v>6</v>
      </c>
      <c r="H9" s="305" t="str">
        <f>'Productive Hours'!$B19</f>
        <v xml:space="preserve">   </v>
      </c>
      <c r="I9" s="304">
        <f>IFERROR('Productive Hours'!$R19,0)</f>
        <v>0</v>
      </c>
      <c r="J9" s="477">
        <f>IFERROR('Productive Hours'!$D19*'Productive Hours'!$S19,0)</f>
        <v>0</v>
      </c>
      <c r="K9" s="304">
        <f>IFERROR('Productive Hours'!$E19/'Productive Hours'!$D19*'Rate summary'!$J9,0)</f>
        <v>0</v>
      </c>
      <c r="M9" s="309">
        <f t="shared" si="1"/>
        <v>6</v>
      </c>
      <c r="N9" s="305" t="str">
        <f>'Productive Hours'!$B19</f>
        <v xml:space="preserve">   </v>
      </c>
      <c r="O9" s="304">
        <f>IFERROR('Productive Hours'!$T19,0)</f>
        <v>0</v>
      </c>
      <c r="P9" s="477">
        <f>IFERROR('Productive Hours'!$D19*'Productive Hours'!$U19,0)</f>
        <v>0</v>
      </c>
      <c r="Q9" s="304">
        <f>IFERROR('Productive Hours'!$E19/'Productive Hours'!$D19*'Rate summary'!$P9,0)</f>
        <v>0</v>
      </c>
      <c r="S9" s="309">
        <f t="shared" si="2"/>
        <v>6</v>
      </c>
      <c r="T9" s="305" t="str">
        <f>'Productive Hours'!$B19</f>
        <v xml:space="preserve">   </v>
      </c>
      <c r="U9" s="304">
        <f>IFERROR('Productive Hours'!$V19,0)</f>
        <v>0</v>
      </c>
      <c r="V9" s="477">
        <f>IFERROR('Productive Hours'!$D19*'Productive Hours'!$W19,0)</f>
        <v>0</v>
      </c>
      <c r="W9" s="304">
        <f>IFERROR('Productive Hours'!$E19/'Productive Hours'!$D19*'Rate summary'!$V9,0)</f>
        <v>0</v>
      </c>
      <c r="Y9" s="309">
        <f t="shared" si="3"/>
        <v>6</v>
      </c>
      <c r="Z9" s="305" t="str">
        <f>'Productive Hours'!$B19</f>
        <v xml:space="preserve">   </v>
      </c>
      <c r="AA9" s="304">
        <f>IFERROR('Productive Hours'!$X19,0)</f>
        <v>0</v>
      </c>
      <c r="AB9" s="477">
        <f>IFERROR('Productive Hours'!$D19*'Productive Hours'!$Y19,0)</f>
        <v>0</v>
      </c>
      <c r="AC9" s="304">
        <f>IFERROR('Productive Hours'!$E19/'Productive Hours'!$D19*'Rate summary'!$AB9,0)</f>
        <v>0</v>
      </c>
      <c r="AE9" s="309">
        <f t="shared" si="4"/>
        <v>6</v>
      </c>
      <c r="AF9" s="305" t="str">
        <f>'Productive Hours'!$B19</f>
        <v xml:space="preserve">   </v>
      </c>
      <c r="AG9" s="304">
        <f>IFERROR('Productive Hours'!$Z19,0)</f>
        <v>0</v>
      </c>
      <c r="AH9" s="477">
        <f>IFERROR('Productive Hours'!$D19*'Productive Hours'!$AA19,0)</f>
        <v>0</v>
      </c>
      <c r="AI9" s="304">
        <f>IFERROR('Productive Hours'!$E19/'Productive Hours'!$D19*'Rate summary'!$AH9,0)</f>
        <v>0</v>
      </c>
    </row>
    <row r="10" spans="1:35" ht="15" hidden="1" customHeight="1" outlineLevel="2">
      <c r="A10" s="309">
        <v>7</v>
      </c>
      <c r="B10" s="305" t="str">
        <f>'Productive Hours'!$B20</f>
        <v xml:space="preserve">   </v>
      </c>
      <c r="C10" s="304">
        <f>+'Productive Hours'!$P20</f>
        <v>0</v>
      </c>
      <c r="D10" s="477">
        <f>IFERROR('Productive Hours'!$D20*'Productive Hours'!$Q20,0)</f>
        <v>0</v>
      </c>
      <c r="E10" s="304">
        <f>IFERROR('Productive Hours'!$E20/'Productive Hours'!$D20*'Rate summary'!$D10,0)</f>
        <v>0</v>
      </c>
      <c r="G10" s="309">
        <f t="shared" si="0"/>
        <v>7</v>
      </c>
      <c r="H10" s="305" t="str">
        <f>'Productive Hours'!$B20</f>
        <v xml:space="preserve">   </v>
      </c>
      <c r="I10" s="304">
        <f>IFERROR('Productive Hours'!$R20,0)</f>
        <v>0</v>
      </c>
      <c r="J10" s="477">
        <f>IFERROR('Productive Hours'!$D20*'Productive Hours'!$S20,0)</f>
        <v>0</v>
      </c>
      <c r="K10" s="304">
        <f>IFERROR('Productive Hours'!$E20/'Productive Hours'!$D20*'Rate summary'!$J10,0)</f>
        <v>0</v>
      </c>
      <c r="M10" s="309">
        <f t="shared" si="1"/>
        <v>7</v>
      </c>
      <c r="N10" s="305" t="str">
        <f>'Productive Hours'!$B20</f>
        <v xml:space="preserve">   </v>
      </c>
      <c r="O10" s="304">
        <f>IFERROR('Productive Hours'!$T20,0)</f>
        <v>0</v>
      </c>
      <c r="P10" s="477">
        <f>IFERROR('Productive Hours'!$D20*'Productive Hours'!$U20,0)</f>
        <v>0</v>
      </c>
      <c r="Q10" s="304">
        <f>IFERROR('Productive Hours'!$E20/'Productive Hours'!$D20*'Rate summary'!$P10,0)</f>
        <v>0</v>
      </c>
      <c r="S10" s="309">
        <f t="shared" si="2"/>
        <v>7</v>
      </c>
      <c r="T10" s="305" t="str">
        <f>'Productive Hours'!$B20</f>
        <v xml:space="preserve">   </v>
      </c>
      <c r="U10" s="304">
        <f>IFERROR('Productive Hours'!$V20,0)</f>
        <v>0</v>
      </c>
      <c r="V10" s="477">
        <f>IFERROR('Productive Hours'!$D20*'Productive Hours'!$W20,0)</f>
        <v>0</v>
      </c>
      <c r="W10" s="304">
        <f>IFERROR('Productive Hours'!$E20/'Productive Hours'!$D20*'Rate summary'!$V10,0)</f>
        <v>0</v>
      </c>
      <c r="Y10" s="309">
        <f t="shared" si="3"/>
        <v>7</v>
      </c>
      <c r="Z10" s="305" t="str">
        <f>'Productive Hours'!$B20</f>
        <v xml:space="preserve">   </v>
      </c>
      <c r="AA10" s="304">
        <f>IFERROR('Productive Hours'!$X20,0)</f>
        <v>0</v>
      </c>
      <c r="AB10" s="477">
        <f>IFERROR('Productive Hours'!$D20*'Productive Hours'!$Y20,0)</f>
        <v>0</v>
      </c>
      <c r="AC10" s="304">
        <f>IFERROR('Productive Hours'!$E20/'Productive Hours'!$D20*'Rate summary'!$AB10,0)</f>
        <v>0</v>
      </c>
      <c r="AE10" s="309">
        <f t="shared" si="4"/>
        <v>7</v>
      </c>
      <c r="AF10" s="305" t="str">
        <f>'Productive Hours'!$B20</f>
        <v xml:space="preserve">   </v>
      </c>
      <c r="AG10" s="304">
        <f>IFERROR('Productive Hours'!$Z20,0)</f>
        <v>0</v>
      </c>
      <c r="AH10" s="477">
        <f>IFERROR('Productive Hours'!$D20*'Productive Hours'!$AA20,0)</f>
        <v>0</v>
      </c>
      <c r="AI10" s="304">
        <f>IFERROR('Productive Hours'!$E20/'Productive Hours'!$D20*'Rate summary'!$AH10,0)</f>
        <v>0</v>
      </c>
    </row>
    <row r="11" spans="1:35" ht="15" hidden="1" customHeight="1" outlineLevel="2">
      <c r="A11" s="309">
        <v>8</v>
      </c>
      <c r="B11" s="305" t="str">
        <f>'Productive Hours'!$B21</f>
        <v xml:space="preserve">   </v>
      </c>
      <c r="C11" s="304">
        <f>+'Productive Hours'!$P21</f>
        <v>0</v>
      </c>
      <c r="D11" s="477">
        <f>IFERROR('Productive Hours'!$D21*'Productive Hours'!$Q21,0)</f>
        <v>0</v>
      </c>
      <c r="E11" s="304">
        <f>IFERROR('Productive Hours'!$E21/'Productive Hours'!$D21*'Rate summary'!$D11,0)</f>
        <v>0</v>
      </c>
      <c r="G11" s="309">
        <f t="shared" si="0"/>
        <v>8</v>
      </c>
      <c r="H11" s="305" t="str">
        <f>'Productive Hours'!$B21</f>
        <v xml:space="preserve">   </v>
      </c>
      <c r="I11" s="304">
        <f>IFERROR('Productive Hours'!$R21,0)</f>
        <v>0</v>
      </c>
      <c r="J11" s="477">
        <f>IFERROR('Productive Hours'!$D21*'Productive Hours'!$S21,0)</f>
        <v>0</v>
      </c>
      <c r="K11" s="304">
        <f>IFERROR('Productive Hours'!$E21/'Productive Hours'!$D21*'Rate summary'!$J11,0)</f>
        <v>0</v>
      </c>
      <c r="M11" s="309">
        <f t="shared" si="1"/>
        <v>8</v>
      </c>
      <c r="N11" s="305" t="str">
        <f>'Productive Hours'!$B21</f>
        <v xml:space="preserve">   </v>
      </c>
      <c r="O11" s="304">
        <f>IFERROR('Productive Hours'!$T21,0)</f>
        <v>0</v>
      </c>
      <c r="P11" s="477">
        <f>IFERROR('Productive Hours'!$D21*'Productive Hours'!$U21,0)</f>
        <v>0</v>
      </c>
      <c r="Q11" s="304">
        <f>IFERROR('Productive Hours'!$E21/'Productive Hours'!$D21*'Rate summary'!$P11,0)</f>
        <v>0</v>
      </c>
      <c r="S11" s="309">
        <f t="shared" si="2"/>
        <v>8</v>
      </c>
      <c r="T11" s="305" t="str">
        <f>'Productive Hours'!$B21</f>
        <v xml:space="preserve">   </v>
      </c>
      <c r="U11" s="304">
        <f>IFERROR('Productive Hours'!$V21,0)</f>
        <v>0</v>
      </c>
      <c r="V11" s="477">
        <f>IFERROR('Productive Hours'!$D21*'Productive Hours'!$W21,0)</f>
        <v>0</v>
      </c>
      <c r="W11" s="304">
        <f>IFERROR('Productive Hours'!$E21/'Productive Hours'!$D21*'Rate summary'!$V11,0)</f>
        <v>0</v>
      </c>
      <c r="Y11" s="309">
        <f t="shared" si="3"/>
        <v>8</v>
      </c>
      <c r="Z11" s="305" t="str">
        <f>'Productive Hours'!$B21</f>
        <v xml:space="preserve">   </v>
      </c>
      <c r="AA11" s="304">
        <f>IFERROR('Productive Hours'!$X21,0)</f>
        <v>0</v>
      </c>
      <c r="AB11" s="477">
        <f>IFERROR('Productive Hours'!$D21*'Productive Hours'!$Y21,0)</f>
        <v>0</v>
      </c>
      <c r="AC11" s="304">
        <f>IFERROR('Productive Hours'!$E21/'Productive Hours'!$D21*'Rate summary'!$AB11,0)</f>
        <v>0</v>
      </c>
      <c r="AE11" s="309">
        <f t="shared" si="4"/>
        <v>8</v>
      </c>
      <c r="AF11" s="305" t="str">
        <f>'Productive Hours'!$B21</f>
        <v xml:space="preserve">   </v>
      </c>
      <c r="AG11" s="304">
        <f>IFERROR('Productive Hours'!$Z21,0)</f>
        <v>0</v>
      </c>
      <c r="AH11" s="477">
        <f>IFERROR('Productive Hours'!$D21*'Productive Hours'!$AA21,0)</f>
        <v>0</v>
      </c>
      <c r="AI11" s="304">
        <f>IFERROR('Productive Hours'!$E21/'Productive Hours'!$D21*'Rate summary'!$AH11,0)</f>
        <v>0</v>
      </c>
    </row>
    <row r="12" spans="1:35" ht="15" hidden="1" customHeight="1" outlineLevel="2">
      <c r="A12" s="309">
        <v>9</v>
      </c>
      <c r="B12" s="305" t="str">
        <f>'Productive Hours'!$B22</f>
        <v xml:space="preserve">   </v>
      </c>
      <c r="C12" s="304">
        <f>+'Productive Hours'!$P22</f>
        <v>0</v>
      </c>
      <c r="D12" s="477">
        <f>IFERROR('Productive Hours'!$D22*'Productive Hours'!$Q22,0)</f>
        <v>0</v>
      </c>
      <c r="E12" s="304">
        <f>IFERROR('Productive Hours'!$E22/'Productive Hours'!$D22*'Rate summary'!$D12,0)</f>
        <v>0</v>
      </c>
      <c r="G12" s="309">
        <f t="shared" si="0"/>
        <v>9</v>
      </c>
      <c r="H12" s="305" t="str">
        <f>'Productive Hours'!$B22</f>
        <v xml:space="preserve">   </v>
      </c>
      <c r="I12" s="304">
        <f>IFERROR('Productive Hours'!$R22,0)</f>
        <v>0</v>
      </c>
      <c r="J12" s="477">
        <f>IFERROR('Productive Hours'!$D22*'Productive Hours'!$S22,0)</f>
        <v>0</v>
      </c>
      <c r="K12" s="304">
        <f>IFERROR('Productive Hours'!$E22/'Productive Hours'!$D22*'Rate summary'!$J12,0)</f>
        <v>0</v>
      </c>
      <c r="M12" s="309">
        <f t="shared" si="1"/>
        <v>9</v>
      </c>
      <c r="N12" s="305" t="str">
        <f>'Productive Hours'!$B22</f>
        <v xml:space="preserve">   </v>
      </c>
      <c r="O12" s="304">
        <f>IFERROR('Productive Hours'!$T22,0)</f>
        <v>0</v>
      </c>
      <c r="P12" s="477">
        <f>IFERROR('Productive Hours'!$D22*'Productive Hours'!$U22,0)</f>
        <v>0</v>
      </c>
      <c r="Q12" s="304">
        <f>IFERROR('Productive Hours'!$E22/'Productive Hours'!$D22*'Rate summary'!$P12,0)</f>
        <v>0</v>
      </c>
      <c r="S12" s="309">
        <f t="shared" si="2"/>
        <v>9</v>
      </c>
      <c r="T12" s="305" t="str">
        <f>'Productive Hours'!$B22</f>
        <v xml:space="preserve">   </v>
      </c>
      <c r="U12" s="304">
        <f>IFERROR('Productive Hours'!$V22,0)</f>
        <v>0</v>
      </c>
      <c r="V12" s="477">
        <f>IFERROR('Productive Hours'!$D22*'Productive Hours'!$W22,0)</f>
        <v>0</v>
      </c>
      <c r="W12" s="304">
        <f>IFERROR('Productive Hours'!$E22/'Productive Hours'!$D22*'Rate summary'!$V12,0)</f>
        <v>0</v>
      </c>
      <c r="Y12" s="309">
        <f t="shared" si="3"/>
        <v>9</v>
      </c>
      <c r="Z12" s="305" t="str">
        <f>'Productive Hours'!$B22</f>
        <v xml:space="preserve">   </v>
      </c>
      <c r="AA12" s="304">
        <f>IFERROR('Productive Hours'!$X22,0)</f>
        <v>0</v>
      </c>
      <c r="AB12" s="477">
        <f>IFERROR('Productive Hours'!$D22*'Productive Hours'!$Y22,0)</f>
        <v>0</v>
      </c>
      <c r="AC12" s="304">
        <f>IFERROR('Productive Hours'!$E22/'Productive Hours'!$D22*'Rate summary'!$AB12,0)</f>
        <v>0</v>
      </c>
      <c r="AE12" s="309">
        <f t="shared" si="4"/>
        <v>9</v>
      </c>
      <c r="AF12" s="305" t="str">
        <f>'Productive Hours'!$B22</f>
        <v xml:space="preserve">   </v>
      </c>
      <c r="AG12" s="304">
        <f>IFERROR('Productive Hours'!$Z22,0)</f>
        <v>0</v>
      </c>
      <c r="AH12" s="477">
        <f>IFERROR('Productive Hours'!$D22*'Productive Hours'!$AA22,0)</f>
        <v>0</v>
      </c>
      <c r="AI12" s="304">
        <f>IFERROR('Productive Hours'!$E22/'Productive Hours'!$D22*'Rate summary'!$AH12,0)</f>
        <v>0</v>
      </c>
    </row>
    <row r="13" spans="1:35" ht="15" hidden="1" customHeight="1" outlineLevel="2">
      <c r="A13" s="309">
        <v>10</v>
      </c>
      <c r="B13" s="305" t="str">
        <f>'Productive Hours'!$B23</f>
        <v xml:space="preserve">   </v>
      </c>
      <c r="C13" s="304">
        <f>+'Productive Hours'!$P23</f>
        <v>0</v>
      </c>
      <c r="D13" s="477">
        <f>IFERROR('Productive Hours'!$D23*'Productive Hours'!$Q23,0)</f>
        <v>0</v>
      </c>
      <c r="E13" s="304">
        <f>IFERROR('Productive Hours'!$E23/'Productive Hours'!$D23*'Rate summary'!$D13,0)</f>
        <v>0</v>
      </c>
      <c r="G13" s="309">
        <f t="shared" si="0"/>
        <v>10</v>
      </c>
      <c r="H13" s="305" t="str">
        <f>'Productive Hours'!$B23</f>
        <v xml:space="preserve">   </v>
      </c>
      <c r="I13" s="304">
        <f>IFERROR('Productive Hours'!$R23,0)</f>
        <v>0</v>
      </c>
      <c r="J13" s="477">
        <f>IFERROR('Productive Hours'!$D23*'Productive Hours'!$S23,0)</f>
        <v>0</v>
      </c>
      <c r="K13" s="304">
        <f>IFERROR('Productive Hours'!$E23/'Productive Hours'!$D23*'Rate summary'!$J13,0)</f>
        <v>0</v>
      </c>
      <c r="M13" s="309">
        <f t="shared" si="1"/>
        <v>10</v>
      </c>
      <c r="N13" s="305" t="str">
        <f>'Productive Hours'!$B23</f>
        <v xml:space="preserve">   </v>
      </c>
      <c r="O13" s="304">
        <f>IFERROR('Productive Hours'!$T23,0)</f>
        <v>0</v>
      </c>
      <c r="P13" s="477">
        <f>IFERROR('Productive Hours'!$D23*'Productive Hours'!$U23,0)</f>
        <v>0</v>
      </c>
      <c r="Q13" s="304">
        <f>IFERROR('Productive Hours'!$E23/'Productive Hours'!$D23*'Rate summary'!$P13,0)</f>
        <v>0</v>
      </c>
      <c r="S13" s="309">
        <f t="shared" si="2"/>
        <v>10</v>
      </c>
      <c r="T13" s="305" t="str">
        <f>'Productive Hours'!$B23</f>
        <v xml:space="preserve">   </v>
      </c>
      <c r="U13" s="304">
        <f>IFERROR('Productive Hours'!$V23,0)</f>
        <v>0</v>
      </c>
      <c r="V13" s="477">
        <f>IFERROR('Productive Hours'!$D23*'Productive Hours'!$W23,0)</f>
        <v>0</v>
      </c>
      <c r="W13" s="304">
        <f>IFERROR('Productive Hours'!$E23/'Productive Hours'!$D23*'Rate summary'!$V13,0)</f>
        <v>0</v>
      </c>
      <c r="Y13" s="309">
        <f t="shared" si="3"/>
        <v>10</v>
      </c>
      <c r="Z13" s="305" t="str">
        <f>'Productive Hours'!$B23</f>
        <v xml:space="preserve">   </v>
      </c>
      <c r="AA13" s="304">
        <f>IFERROR('Productive Hours'!$X23,0)</f>
        <v>0</v>
      </c>
      <c r="AB13" s="477">
        <f>IFERROR('Productive Hours'!$D23*'Productive Hours'!$Y23,0)</f>
        <v>0</v>
      </c>
      <c r="AC13" s="304">
        <f>IFERROR('Productive Hours'!$E23/'Productive Hours'!$D23*'Rate summary'!$AB13,0)</f>
        <v>0</v>
      </c>
      <c r="AE13" s="309">
        <f t="shared" si="4"/>
        <v>10</v>
      </c>
      <c r="AF13" s="305" t="str">
        <f>'Productive Hours'!$B23</f>
        <v xml:space="preserve">   </v>
      </c>
      <c r="AG13" s="304">
        <f>IFERROR('Productive Hours'!$Z23,0)</f>
        <v>0</v>
      </c>
      <c r="AH13" s="477">
        <f>IFERROR('Productive Hours'!$D23*'Productive Hours'!$AA23,0)</f>
        <v>0</v>
      </c>
      <c r="AI13" s="304">
        <f>IFERROR('Productive Hours'!$E23/'Productive Hours'!$D23*'Rate summary'!$AH13,0)</f>
        <v>0</v>
      </c>
    </row>
    <row r="14" spans="1:35" ht="15" hidden="1" customHeight="1" outlineLevel="2">
      <c r="A14" s="565">
        <v>11</v>
      </c>
      <c r="B14" s="305" t="str">
        <f>'Productive Hours'!$B24</f>
        <v xml:space="preserve">   </v>
      </c>
      <c r="C14" s="304">
        <f>+'Productive Hours'!$P24</f>
        <v>0</v>
      </c>
      <c r="D14" s="477">
        <f>IFERROR('Productive Hours'!$D24*'Productive Hours'!$Q24,0)</f>
        <v>0</v>
      </c>
      <c r="E14" s="304">
        <f>IFERROR('Productive Hours'!$E24/'Productive Hours'!$D24*'Rate summary'!$D14,0)</f>
        <v>0</v>
      </c>
      <c r="G14" s="565">
        <f t="shared" si="0"/>
        <v>11</v>
      </c>
      <c r="H14" s="305" t="str">
        <f>'Productive Hours'!$B24</f>
        <v xml:space="preserve">   </v>
      </c>
      <c r="I14" s="304">
        <f>IFERROR('Productive Hours'!$R24,0)</f>
        <v>0</v>
      </c>
      <c r="J14" s="477">
        <f>IFERROR('Productive Hours'!$D24*'Productive Hours'!$S24,0)</f>
        <v>0</v>
      </c>
      <c r="K14" s="304">
        <f>IFERROR('Productive Hours'!$E24/'Productive Hours'!$D24*'Rate summary'!$J14,0)</f>
        <v>0</v>
      </c>
      <c r="M14" s="565">
        <f t="shared" si="1"/>
        <v>11</v>
      </c>
      <c r="N14" s="305" t="str">
        <f>'Productive Hours'!$B24</f>
        <v xml:space="preserve">   </v>
      </c>
      <c r="O14" s="304">
        <f>IFERROR('Productive Hours'!$T24,0)</f>
        <v>0</v>
      </c>
      <c r="P14" s="477">
        <f>IFERROR('Productive Hours'!$D24*'Productive Hours'!$U24,0)</f>
        <v>0</v>
      </c>
      <c r="Q14" s="304">
        <f>IFERROR('Productive Hours'!$E24/'Productive Hours'!$D24*'Rate summary'!$P14,0)</f>
        <v>0</v>
      </c>
      <c r="S14" s="565">
        <f t="shared" si="2"/>
        <v>11</v>
      </c>
      <c r="T14" s="305" t="str">
        <f>'Productive Hours'!$B24</f>
        <v xml:space="preserve">   </v>
      </c>
      <c r="U14" s="304">
        <f>IFERROR('Productive Hours'!$V24,0)</f>
        <v>0</v>
      </c>
      <c r="V14" s="477">
        <f>IFERROR('Productive Hours'!$D24*'Productive Hours'!$W24,0)</f>
        <v>0</v>
      </c>
      <c r="W14" s="304">
        <f>IFERROR('Productive Hours'!$E24/'Productive Hours'!$D24*'Rate summary'!$V14,0)</f>
        <v>0</v>
      </c>
      <c r="Y14" s="565">
        <f t="shared" si="3"/>
        <v>11</v>
      </c>
      <c r="Z14" s="305" t="str">
        <f>'Productive Hours'!$B24</f>
        <v xml:space="preserve">   </v>
      </c>
      <c r="AA14" s="304">
        <f>IFERROR('Productive Hours'!$X24,0)</f>
        <v>0</v>
      </c>
      <c r="AB14" s="477">
        <f>IFERROR('Productive Hours'!$D24*'Productive Hours'!$Y24,0)</f>
        <v>0</v>
      </c>
      <c r="AC14" s="304">
        <f>IFERROR('Productive Hours'!$E24/'Productive Hours'!$D24*'Rate summary'!$AB14,0)</f>
        <v>0</v>
      </c>
      <c r="AE14" s="565">
        <f t="shared" si="4"/>
        <v>11</v>
      </c>
      <c r="AF14" s="305" t="str">
        <f>'Productive Hours'!$B24</f>
        <v xml:space="preserve">   </v>
      </c>
      <c r="AG14" s="304">
        <f>IFERROR('Productive Hours'!$Z24,0)</f>
        <v>0</v>
      </c>
      <c r="AH14" s="477">
        <f>IFERROR('Productive Hours'!$D24*'Productive Hours'!$AA24,0)</f>
        <v>0</v>
      </c>
      <c r="AI14" s="304">
        <f>IFERROR('Productive Hours'!$E24/'Productive Hours'!$D24*'Rate summary'!$AH14,0)</f>
        <v>0</v>
      </c>
    </row>
    <row r="15" spans="1:35" ht="15" hidden="1" customHeight="1" outlineLevel="2">
      <c r="A15" s="565">
        <v>12</v>
      </c>
      <c r="B15" s="305" t="str">
        <f>'Productive Hours'!$B25</f>
        <v xml:space="preserve">   </v>
      </c>
      <c r="C15" s="304">
        <f>+'Productive Hours'!$P25</f>
        <v>0</v>
      </c>
      <c r="D15" s="477">
        <f>IFERROR('Productive Hours'!$D25*'Productive Hours'!$Q25,0)</f>
        <v>0</v>
      </c>
      <c r="E15" s="304">
        <f>IFERROR('Productive Hours'!$E25/'Productive Hours'!$D25*'Rate summary'!$D15,0)</f>
        <v>0</v>
      </c>
      <c r="G15" s="565">
        <f t="shared" si="0"/>
        <v>12</v>
      </c>
      <c r="H15" s="305" t="str">
        <f>'Productive Hours'!$B25</f>
        <v xml:space="preserve">   </v>
      </c>
      <c r="I15" s="304">
        <f>IFERROR('Productive Hours'!$R25,0)</f>
        <v>0</v>
      </c>
      <c r="J15" s="477">
        <f>IFERROR('Productive Hours'!$D25*'Productive Hours'!$S25,0)</f>
        <v>0</v>
      </c>
      <c r="K15" s="304">
        <f>IFERROR('Productive Hours'!$E25/'Productive Hours'!$D25*'Rate summary'!$J15,0)</f>
        <v>0</v>
      </c>
      <c r="M15" s="565">
        <f t="shared" si="1"/>
        <v>12</v>
      </c>
      <c r="N15" s="305" t="str">
        <f>'Productive Hours'!$B25</f>
        <v xml:space="preserve">   </v>
      </c>
      <c r="O15" s="304">
        <f>IFERROR('Productive Hours'!$T25,0)</f>
        <v>0</v>
      </c>
      <c r="P15" s="477">
        <f>IFERROR('Productive Hours'!$D25*'Productive Hours'!$U25,0)</f>
        <v>0</v>
      </c>
      <c r="Q15" s="304">
        <f>IFERROR('Productive Hours'!$E25/'Productive Hours'!$D25*'Rate summary'!$P15,0)</f>
        <v>0</v>
      </c>
      <c r="S15" s="565">
        <f t="shared" si="2"/>
        <v>12</v>
      </c>
      <c r="T15" s="305" t="str">
        <f>'Productive Hours'!$B25</f>
        <v xml:space="preserve">   </v>
      </c>
      <c r="U15" s="304">
        <f>IFERROR('Productive Hours'!$V25,0)</f>
        <v>0</v>
      </c>
      <c r="V15" s="477">
        <f>IFERROR('Productive Hours'!$D25*'Productive Hours'!$W25,0)</f>
        <v>0</v>
      </c>
      <c r="W15" s="304">
        <f>IFERROR('Productive Hours'!$E25/'Productive Hours'!$D25*'Rate summary'!$V15,0)</f>
        <v>0</v>
      </c>
      <c r="Y15" s="565">
        <f t="shared" si="3"/>
        <v>12</v>
      </c>
      <c r="Z15" s="305" t="str">
        <f>'Productive Hours'!$B25</f>
        <v xml:space="preserve">   </v>
      </c>
      <c r="AA15" s="304">
        <f>IFERROR('Productive Hours'!$X25,0)</f>
        <v>0</v>
      </c>
      <c r="AB15" s="477">
        <f>IFERROR('Productive Hours'!$D25*'Productive Hours'!$Y25,0)</f>
        <v>0</v>
      </c>
      <c r="AC15" s="304">
        <f>IFERROR('Productive Hours'!$E25/'Productive Hours'!$D25*'Rate summary'!$AB15,0)</f>
        <v>0</v>
      </c>
      <c r="AE15" s="565">
        <f t="shared" si="4"/>
        <v>12</v>
      </c>
      <c r="AF15" s="305" t="str">
        <f>'Productive Hours'!$B25</f>
        <v xml:space="preserve">   </v>
      </c>
      <c r="AG15" s="304">
        <f>IFERROR('Productive Hours'!$Z25,0)</f>
        <v>0</v>
      </c>
      <c r="AH15" s="477">
        <f>IFERROR('Productive Hours'!$D25*'Productive Hours'!$AA25,0)</f>
        <v>0</v>
      </c>
      <c r="AI15" s="304">
        <f>IFERROR('Productive Hours'!$E25/'Productive Hours'!$D25*'Rate summary'!$AH15,0)</f>
        <v>0</v>
      </c>
    </row>
    <row r="16" spans="1:35" ht="15" hidden="1" customHeight="1" outlineLevel="2">
      <c r="A16" s="565">
        <v>13</v>
      </c>
      <c r="B16" s="305" t="str">
        <f>'Productive Hours'!$B26</f>
        <v xml:space="preserve">   </v>
      </c>
      <c r="C16" s="304">
        <f>+'Productive Hours'!$P26</f>
        <v>0</v>
      </c>
      <c r="D16" s="477">
        <f>IFERROR('Productive Hours'!$D26*'Productive Hours'!$Q26,0)</f>
        <v>0</v>
      </c>
      <c r="E16" s="304">
        <f>IFERROR('Productive Hours'!$E26/'Productive Hours'!$D26*'Rate summary'!$D16,0)</f>
        <v>0</v>
      </c>
      <c r="G16" s="565">
        <f t="shared" si="0"/>
        <v>13</v>
      </c>
      <c r="H16" s="305" t="str">
        <f>'Productive Hours'!$B26</f>
        <v xml:space="preserve">   </v>
      </c>
      <c r="I16" s="304">
        <f>IFERROR('Productive Hours'!$R26,0)</f>
        <v>0</v>
      </c>
      <c r="J16" s="477">
        <f>IFERROR('Productive Hours'!$D26*'Productive Hours'!$S26,0)</f>
        <v>0</v>
      </c>
      <c r="K16" s="304">
        <f>IFERROR('Productive Hours'!$E26/'Productive Hours'!$D26*'Rate summary'!$J16,0)</f>
        <v>0</v>
      </c>
      <c r="M16" s="565">
        <f t="shared" si="1"/>
        <v>13</v>
      </c>
      <c r="N16" s="305" t="str">
        <f>'Productive Hours'!$B26</f>
        <v xml:space="preserve">   </v>
      </c>
      <c r="O16" s="304">
        <f>IFERROR('Productive Hours'!$T26,0)</f>
        <v>0</v>
      </c>
      <c r="P16" s="477">
        <f>IFERROR('Productive Hours'!$D26*'Productive Hours'!$U26,0)</f>
        <v>0</v>
      </c>
      <c r="Q16" s="304">
        <f>IFERROR('Productive Hours'!$E26/'Productive Hours'!$D26*'Rate summary'!$P16,0)</f>
        <v>0</v>
      </c>
      <c r="S16" s="565">
        <f t="shared" si="2"/>
        <v>13</v>
      </c>
      <c r="T16" s="305" t="str">
        <f>'Productive Hours'!$B26</f>
        <v xml:space="preserve">   </v>
      </c>
      <c r="U16" s="304">
        <f>IFERROR('Productive Hours'!$V26,0)</f>
        <v>0</v>
      </c>
      <c r="V16" s="477">
        <f>IFERROR('Productive Hours'!$D26*'Productive Hours'!$W26,0)</f>
        <v>0</v>
      </c>
      <c r="W16" s="304">
        <f>IFERROR('Productive Hours'!$E26/'Productive Hours'!$D26*'Rate summary'!$V16,0)</f>
        <v>0</v>
      </c>
      <c r="Y16" s="565">
        <f t="shared" si="3"/>
        <v>13</v>
      </c>
      <c r="Z16" s="305" t="str">
        <f>'Productive Hours'!$B26</f>
        <v xml:space="preserve">   </v>
      </c>
      <c r="AA16" s="304">
        <f>IFERROR('Productive Hours'!$X26,0)</f>
        <v>0</v>
      </c>
      <c r="AB16" s="477">
        <f>IFERROR('Productive Hours'!$D26*'Productive Hours'!$Y26,0)</f>
        <v>0</v>
      </c>
      <c r="AC16" s="304">
        <f>IFERROR('Productive Hours'!$E26/'Productive Hours'!$D26*'Rate summary'!$AB16,0)</f>
        <v>0</v>
      </c>
      <c r="AE16" s="565">
        <f t="shared" si="4"/>
        <v>13</v>
      </c>
      <c r="AF16" s="305" t="str">
        <f>'Productive Hours'!$B26</f>
        <v xml:space="preserve">   </v>
      </c>
      <c r="AG16" s="304">
        <f>IFERROR('Productive Hours'!$Z26,0)</f>
        <v>0</v>
      </c>
      <c r="AH16" s="477">
        <f>IFERROR('Productive Hours'!$D26*'Productive Hours'!$AA26,0)</f>
        <v>0</v>
      </c>
      <c r="AI16" s="304">
        <f>IFERROR('Productive Hours'!$E26/'Productive Hours'!$D26*'Rate summary'!$AH16,0)</f>
        <v>0</v>
      </c>
    </row>
    <row r="17" spans="1:35" ht="15" hidden="1" customHeight="1" outlineLevel="2">
      <c r="A17" s="565">
        <v>14</v>
      </c>
      <c r="B17" s="305" t="str">
        <f>'Productive Hours'!$B27</f>
        <v xml:space="preserve">   </v>
      </c>
      <c r="C17" s="304">
        <f>+'Productive Hours'!$P27</f>
        <v>0</v>
      </c>
      <c r="D17" s="477">
        <f>IFERROR('Productive Hours'!$D27*'Productive Hours'!$Q27,0)</f>
        <v>0</v>
      </c>
      <c r="E17" s="304">
        <f>IFERROR('Productive Hours'!$E27/'Productive Hours'!$D27*'Rate summary'!$D17,0)</f>
        <v>0</v>
      </c>
      <c r="G17" s="565">
        <f t="shared" si="0"/>
        <v>14</v>
      </c>
      <c r="H17" s="305" t="str">
        <f>'Productive Hours'!$B27</f>
        <v xml:space="preserve">   </v>
      </c>
      <c r="I17" s="304">
        <f>IFERROR('Productive Hours'!$R27,0)</f>
        <v>0</v>
      </c>
      <c r="J17" s="477">
        <f>IFERROR('Productive Hours'!$D27*'Productive Hours'!$S27,0)</f>
        <v>0</v>
      </c>
      <c r="K17" s="304">
        <f>IFERROR('Productive Hours'!$E27/'Productive Hours'!$D27*'Rate summary'!$J17,0)</f>
        <v>0</v>
      </c>
      <c r="M17" s="565">
        <f t="shared" si="1"/>
        <v>14</v>
      </c>
      <c r="N17" s="305" t="str">
        <f>'Productive Hours'!$B27</f>
        <v xml:space="preserve">   </v>
      </c>
      <c r="O17" s="304">
        <f>IFERROR('Productive Hours'!$T27,0)</f>
        <v>0</v>
      </c>
      <c r="P17" s="477">
        <f>IFERROR('Productive Hours'!$D27*'Productive Hours'!$U27,0)</f>
        <v>0</v>
      </c>
      <c r="Q17" s="304">
        <f>IFERROR('Productive Hours'!$E27/'Productive Hours'!$D27*'Rate summary'!$P17,0)</f>
        <v>0</v>
      </c>
      <c r="S17" s="565">
        <f t="shared" si="2"/>
        <v>14</v>
      </c>
      <c r="T17" s="305" t="str">
        <f>'Productive Hours'!$B27</f>
        <v xml:space="preserve">   </v>
      </c>
      <c r="U17" s="304">
        <f>IFERROR('Productive Hours'!$V27,0)</f>
        <v>0</v>
      </c>
      <c r="V17" s="477">
        <f>IFERROR('Productive Hours'!$D27*'Productive Hours'!$W27,0)</f>
        <v>0</v>
      </c>
      <c r="W17" s="304">
        <f>IFERROR('Productive Hours'!$E27/'Productive Hours'!$D27*'Rate summary'!$V17,0)</f>
        <v>0</v>
      </c>
      <c r="Y17" s="565">
        <f t="shared" si="3"/>
        <v>14</v>
      </c>
      <c r="Z17" s="305" t="str">
        <f>'Productive Hours'!$B27</f>
        <v xml:space="preserve">   </v>
      </c>
      <c r="AA17" s="304">
        <f>IFERROR('Productive Hours'!$X27,0)</f>
        <v>0</v>
      </c>
      <c r="AB17" s="477">
        <f>IFERROR('Productive Hours'!$D27*'Productive Hours'!$Y27,0)</f>
        <v>0</v>
      </c>
      <c r="AC17" s="304">
        <f>IFERROR('Productive Hours'!$E27/'Productive Hours'!$D27*'Rate summary'!$AB17,0)</f>
        <v>0</v>
      </c>
      <c r="AE17" s="565">
        <f t="shared" si="4"/>
        <v>14</v>
      </c>
      <c r="AF17" s="305" t="str">
        <f>'Productive Hours'!$B27</f>
        <v xml:space="preserve">   </v>
      </c>
      <c r="AG17" s="304">
        <f>IFERROR('Productive Hours'!$Z27,0)</f>
        <v>0</v>
      </c>
      <c r="AH17" s="477">
        <f>IFERROR('Productive Hours'!$D27*'Productive Hours'!$AA27,0)</f>
        <v>0</v>
      </c>
      <c r="AI17" s="304">
        <f>IFERROR('Productive Hours'!$E27/'Productive Hours'!$D27*'Rate summary'!$AH17,0)</f>
        <v>0</v>
      </c>
    </row>
    <row r="18" spans="1:35" ht="15" hidden="1" customHeight="1" outlineLevel="2">
      <c r="A18" s="565">
        <v>15</v>
      </c>
      <c r="B18" s="305" t="str">
        <f>'Productive Hours'!$B28</f>
        <v xml:space="preserve">   </v>
      </c>
      <c r="C18" s="304">
        <f>+'Productive Hours'!$P28</f>
        <v>0</v>
      </c>
      <c r="D18" s="477">
        <f>IFERROR('Productive Hours'!$D28*'Productive Hours'!$Q28,0)</f>
        <v>0</v>
      </c>
      <c r="E18" s="304">
        <f>IFERROR('Productive Hours'!$E28/'Productive Hours'!$D28*'Rate summary'!$D18,0)</f>
        <v>0</v>
      </c>
      <c r="G18" s="565">
        <f t="shared" si="0"/>
        <v>15</v>
      </c>
      <c r="H18" s="305" t="str">
        <f>'Productive Hours'!$B28</f>
        <v xml:space="preserve">   </v>
      </c>
      <c r="I18" s="304">
        <f>IFERROR('Productive Hours'!$R28,0)</f>
        <v>0</v>
      </c>
      <c r="J18" s="477">
        <f>IFERROR('Productive Hours'!$D28*'Productive Hours'!$S28,0)</f>
        <v>0</v>
      </c>
      <c r="K18" s="304">
        <f>IFERROR('Productive Hours'!$E28/'Productive Hours'!$D28*'Rate summary'!$J18,0)</f>
        <v>0</v>
      </c>
      <c r="M18" s="565">
        <f t="shared" si="1"/>
        <v>15</v>
      </c>
      <c r="N18" s="305" t="str">
        <f>'Productive Hours'!$B28</f>
        <v xml:space="preserve">   </v>
      </c>
      <c r="O18" s="304">
        <f>IFERROR('Productive Hours'!$T28,0)</f>
        <v>0</v>
      </c>
      <c r="P18" s="477">
        <f>IFERROR('Productive Hours'!$D28*'Productive Hours'!$U28,0)</f>
        <v>0</v>
      </c>
      <c r="Q18" s="304">
        <f>IFERROR('Productive Hours'!$E28/'Productive Hours'!$D28*'Rate summary'!$P18,0)</f>
        <v>0</v>
      </c>
      <c r="S18" s="565">
        <f t="shared" si="2"/>
        <v>15</v>
      </c>
      <c r="T18" s="305" t="str">
        <f>'Productive Hours'!$B28</f>
        <v xml:space="preserve">   </v>
      </c>
      <c r="U18" s="304">
        <f>IFERROR('Productive Hours'!$V28,0)</f>
        <v>0</v>
      </c>
      <c r="V18" s="477">
        <f>IFERROR('Productive Hours'!$D28*'Productive Hours'!$W28,0)</f>
        <v>0</v>
      </c>
      <c r="W18" s="304">
        <f>IFERROR('Productive Hours'!$E28/'Productive Hours'!$D28*'Rate summary'!$V18,0)</f>
        <v>0</v>
      </c>
      <c r="Y18" s="565">
        <f t="shared" si="3"/>
        <v>15</v>
      </c>
      <c r="Z18" s="305" t="str">
        <f>'Productive Hours'!$B28</f>
        <v xml:space="preserve">   </v>
      </c>
      <c r="AA18" s="304">
        <f>IFERROR('Productive Hours'!$X28,0)</f>
        <v>0</v>
      </c>
      <c r="AB18" s="477">
        <f>IFERROR('Productive Hours'!$D28*'Productive Hours'!$Y28,0)</f>
        <v>0</v>
      </c>
      <c r="AC18" s="304">
        <f>IFERROR('Productive Hours'!$E28/'Productive Hours'!$D28*'Rate summary'!$AB18,0)</f>
        <v>0</v>
      </c>
      <c r="AE18" s="565">
        <f t="shared" si="4"/>
        <v>15</v>
      </c>
      <c r="AF18" s="305" t="str">
        <f>'Productive Hours'!$B28</f>
        <v xml:space="preserve">   </v>
      </c>
      <c r="AG18" s="304">
        <f>IFERROR('Productive Hours'!$Z28,0)</f>
        <v>0</v>
      </c>
      <c r="AH18" s="477">
        <f>IFERROR('Productive Hours'!$D28*'Productive Hours'!$AA28,0)</f>
        <v>0</v>
      </c>
      <c r="AI18" s="304">
        <f>IFERROR('Productive Hours'!$E28/'Productive Hours'!$D28*'Rate summary'!$AH18,0)</f>
        <v>0</v>
      </c>
    </row>
    <row r="19" spans="1:35" ht="15" hidden="1" customHeight="1" outlineLevel="2">
      <c r="A19" s="565">
        <v>16</v>
      </c>
      <c r="B19" s="305" t="str">
        <f>'Productive Hours'!$B29</f>
        <v xml:space="preserve">   </v>
      </c>
      <c r="C19" s="304">
        <f>+'Productive Hours'!$P29</f>
        <v>0</v>
      </c>
      <c r="D19" s="477">
        <f>IFERROR('Productive Hours'!$D29*'Productive Hours'!$Q29,0)</f>
        <v>0</v>
      </c>
      <c r="E19" s="304">
        <f>IFERROR('Productive Hours'!$E29/'Productive Hours'!$D29*'Rate summary'!$D19,0)</f>
        <v>0</v>
      </c>
      <c r="G19" s="565">
        <f t="shared" si="0"/>
        <v>16</v>
      </c>
      <c r="H19" s="305" t="str">
        <f>'Productive Hours'!$B29</f>
        <v xml:space="preserve">   </v>
      </c>
      <c r="I19" s="304">
        <f>IFERROR('Productive Hours'!$R29,0)</f>
        <v>0</v>
      </c>
      <c r="J19" s="477">
        <f>IFERROR('Productive Hours'!$D29*'Productive Hours'!$S29,0)</f>
        <v>0</v>
      </c>
      <c r="K19" s="304">
        <f>IFERROR('Productive Hours'!$E29/'Productive Hours'!$D29*'Rate summary'!$J19,0)</f>
        <v>0</v>
      </c>
      <c r="M19" s="565">
        <f t="shared" si="1"/>
        <v>16</v>
      </c>
      <c r="N19" s="305" t="str">
        <f>'Productive Hours'!$B29</f>
        <v xml:space="preserve">   </v>
      </c>
      <c r="O19" s="304">
        <f>IFERROR('Productive Hours'!$T29,0)</f>
        <v>0</v>
      </c>
      <c r="P19" s="477">
        <f>IFERROR('Productive Hours'!$D29*'Productive Hours'!$U29,0)</f>
        <v>0</v>
      </c>
      <c r="Q19" s="304">
        <f>IFERROR('Productive Hours'!$E29/'Productive Hours'!$D29*'Rate summary'!$P19,0)</f>
        <v>0</v>
      </c>
      <c r="S19" s="565">
        <f t="shared" si="2"/>
        <v>16</v>
      </c>
      <c r="T19" s="305" t="str">
        <f>'Productive Hours'!$B29</f>
        <v xml:space="preserve">   </v>
      </c>
      <c r="U19" s="304">
        <f>IFERROR('Productive Hours'!$V29,0)</f>
        <v>0</v>
      </c>
      <c r="V19" s="477">
        <f>IFERROR('Productive Hours'!$D29*'Productive Hours'!$W29,0)</f>
        <v>0</v>
      </c>
      <c r="W19" s="304">
        <f>IFERROR('Productive Hours'!$E29/'Productive Hours'!$D29*'Rate summary'!$V19,0)</f>
        <v>0</v>
      </c>
      <c r="Y19" s="565">
        <f t="shared" si="3"/>
        <v>16</v>
      </c>
      <c r="Z19" s="305" t="str">
        <f>'Productive Hours'!$B29</f>
        <v xml:space="preserve">   </v>
      </c>
      <c r="AA19" s="304">
        <f>IFERROR('Productive Hours'!$X29,0)</f>
        <v>0</v>
      </c>
      <c r="AB19" s="477">
        <f>IFERROR('Productive Hours'!$D29*'Productive Hours'!$Y29,0)</f>
        <v>0</v>
      </c>
      <c r="AC19" s="304">
        <f>IFERROR('Productive Hours'!$E29/'Productive Hours'!$D29*'Rate summary'!$AB19,0)</f>
        <v>0</v>
      </c>
      <c r="AE19" s="565">
        <f t="shared" si="4"/>
        <v>16</v>
      </c>
      <c r="AF19" s="305" t="str">
        <f>'Productive Hours'!$B29</f>
        <v xml:space="preserve">   </v>
      </c>
      <c r="AG19" s="304">
        <f>IFERROR('Productive Hours'!$Z29,0)</f>
        <v>0</v>
      </c>
      <c r="AH19" s="477">
        <f>IFERROR('Productive Hours'!$D29*'Productive Hours'!$AA29,0)</f>
        <v>0</v>
      </c>
      <c r="AI19" s="304">
        <f>IFERROR('Productive Hours'!$E29/'Productive Hours'!$D29*'Rate summary'!$AH19,0)</f>
        <v>0</v>
      </c>
    </row>
    <row r="20" spans="1:35" ht="15" hidden="1" customHeight="1" outlineLevel="2">
      <c r="A20" s="565">
        <v>17</v>
      </c>
      <c r="B20" s="305" t="str">
        <f>'Productive Hours'!$B30</f>
        <v xml:space="preserve">   </v>
      </c>
      <c r="C20" s="304">
        <f>+'Productive Hours'!$P30</f>
        <v>0</v>
      </c>
      <c r="D20" s="477">
        <f>IFERROR('Productive Hours'!$D30*'Productive Hours'!$Q30,0)</f>
        <v>0</v>
      </c>
      <c r="E20" s="304">
        <f>IFERROR('Productive Hours'!$E30/'Productive Hours'!$D30*'Rate summary'!$D20,0)</f>
        <v>0</v>
      </c>
      <c r="G20" s="565">
        <f t="shared" si="0"/>
        <v>17</v>
      </c>
      <c r="H20" s="305" t="str">
        <f>'Productive Hours'!$B30</f>
        <v xml:space="preserve">   </v>
      </c>
      <c r="I20" s="304">
        <f>IFERROR('Productive Hours'!$R30,0)</f>
        <v>0</v>
      </c>
      <c r="J20" s="477">
        <f>IFERROR('Productive Hours'!$D30*'Productive Hours'!$S30,0)</f>
        <v>0</v>
      </c>
      <c r="K20" s="304">
        <f>IFERROR('Productive Hours'!$E30/'Productive Hours'!$D30*'Rate summary'!$J20,0)</f>
        <v>0</v>
      </c>
      <c r="M20" s="565">
        <f t="shared" si="1"/>
        <v>17</v>
      </c>
      <c r="N20" s="305" t="str">
        <f>'Productive Hours'!$B30</f>
        <v xml:space="preserve">   </v>
      </c>
      <c r="O20" s="304">
        <f>IFERROR('Productive Hours'!$T30,0)</f>
        <v>0</v>
      </c>
      <c r="P20" s="477">
        <f>IFERROR('Productive Hours'!$D30*'Productive Hours'!$U30,0)</f>
        <v>0</v>
      </c>
      <c r="Q20" s="304">
        <f>IFERROR('Productive Hours'!$E30/'Productive Hours'!$D30*'Rate summary'!$P20,0)</f>
        <v>0</v>
      </c>
      <c r="S20" s="565">
        <f t="shared" si="2"/>
        <v>17</v>
      </c>
      <c r="T20" s="305" t="str">
        <f>'Productive Hours'!$B30</f>
        <v xml:space="preserve">   </v>
      </c>
      <c r="U20" s="304">
        <f>IFERROR('Productive Hours'!$V30,0)</f>
        <v>0</v>
      </c>
      <c r="V20" s="477">
        <f>IFERROR('Productive Hours'!$D30*'Productive Hours'!$W30,0)</f>
        <v>0</v>
      </c>
      <c r="W20" s="304">
        <f>IFERROR('Productive Hours'!$E30/'Productive Hours'!$D30*'Rate summary'!$V20,0)</f>
        <v>0</v>
      </c>
      <c r="Y20" s="565">
        <f t="shared" si="3"/>
        <v>17</v>
      </c>
      <c r="Z20" s="305" t="str">
        <f>'Productive Hours'!$B30</f>
        <v xml:space="preserve">   </v>
      </c>
      <c r="AA20" s="304">
        <f>IFERROR('Productive Hours'!$X30,0)</f>
        <v>0</v>
      </c>
      <c r="AB20" s="477">
        <f>IFERROR('Productive Hours'!$D30*'Productive Hours'!$Y30,0)</f>
        <v>0</v>
      </c>
      <c r="AC20" s="304">
        <f>IFERROR('Productive Hours'!$E30/'Productive Hours'!$D30*'Rate summary'!$AB20,0)</f>
        <v>0</v>
      </c>
      <c r="AE20" s="565">
        <f t="shared" si="4"/>
        <v>17</v>
      </c>
      <c r="AF20" s="305" t="str">
        <f>'Productive Hours'!$B30</f>
        <v xml:space="preserve">   </v>
      </c>
      <c r="AG20" s="304">
        <f>IFERROR('Productive Hours'!$Z30,0)</f>
        <v>0</v>
      </c>
      <c r="AH20" s="477">
        <f>IFERROR('Productive Hours'!$D30*'Productive Hours'!$AA30,0)</f>
        <v>0</v>
      </c>
      <c r="AI20" s="304">
        <f>IFERROR('Productive Hours'!$E30/'Productive Hours'!$D30*'Rate summary'!$AH20,0)</f>
        <v>0</v>
      </c>
    </row>
    <row r="21" spans="1:35" ht="15" hidden="1" customHeight="1" outlineLevel="2">
      <c r="A21" s="565">
        <v>18</v>
      </c>
      <c r="B21" s="305" t="str">
        <f>'Productive Hours'!$B31</f>
        <v xml:space="preserve">   </v>
      </c>
      <c r="C21" s="304">
        <f>+'Productive Hours'!$P31</f>
        <v>0</v>
      </c>
      <c r="D21" s="477">
        <f>IFERROR('Productive Hours'!$D31*'Productive Hours'!$Q31,0)</f>
        <v>0</v>
      </c>
      <c r="E21" s="304">
        <f>IFERROR('Productive Hours'!$E31/'Productive Hours'!$D31*'Rate summary'!$D21,0)</f>
        <v>0</v>
      </c>
      <c r="G21" s="565">
        <f t="shared" si="0"/>
        <v>18</v>
      </c>
      <c r="H21" s="305" t="str">
        <f>'Productive Hours'!$B31</f>
        <v xml:space="preserve">   </v>
      </c>
      <c r="I21" s="304">
        <f>IFERROR('Productive Hours'!$R31,0)</f>
        <v>0</v>
      </c>
      <c r="J21" s="477">
        <f>IFERROR('Productive Hours'!$D31*'Productive Hours'!$S31,0)</f>
        <v>0</v>
      </c>
      <c r="K21" s="304">
        <f>IFERROR('Productive Hours'!$E31/'Productive Hours'!$D31*'Rate summary'!$J21,0)</f>
        <v>0</v>
      </c>
      <c r="M21" s="565">
        <f t="shared" si="1"/>
        <v>18</v>
      </c>
      <c r="N21" s="305" t="str">
        <f>'Productive Hours'!$B31</f>
        <v xml:space="preserve">   </v>
      </c>
      <c r="O21" s="304">
        <f>IFERROR('Productive Hours'!$T31,0)</f>
        <v>0</v>
      </c>
      <c r="P21" s="477">
        <f>IFERROR('Productive Hours'!$D31*'Productive Hours'!$U31,0)</f>
        <v>0</v>
      </c>
      <c r="Q21" s="304">
        <f>IFERROR('Productive Hours'!$E31/'Productive Hours'!$D31*'Rate summary'!$P21,0)</f>
        <v>0</v>
      </c>
      <c r="S21" s="565">
        <f t="shared" si="2"/>
        <v>18</v>
      </c>
      <c r="T21" s="305" t="str">
        <f>'Productive Hours'!$B31</f>
        <v xml:space="preserve">   </v>
      </c>
      <c r="U21" s="304">
        <f>IFERROR('Productive Hours'!$V31,0)</f>
        <v>0</v>
      </c>
      <c r="V21" s="477">
        <f>IFERROR('Productive Hours'!$D31*'Productive Hours'!$W31,0)</f>
        <v>0</v>
      </c>
      <c r="W21" s="304">
        <f>IFERROR('Productive Hours'!$E31/'Productive Hours'!$D31*'Rate summary'!$V21,0)</f>
        <v>0</v>
      </c>
      <c r="Y21" s="565">
        <f t="shared" si="3"/>
        <v>18</v>
      </c>
      <c r="Z21" s="305" t="str">
        <f>'Productive Hours'!$B31</f>
        <v xml:space="preserve">   </v>
      </c>
      <c r="AA21" s="304">
        <f>IFERROR('Productive Hours'!$X31,0)</f>
        <v>0</v>
      </c>
      <c r="AB21" s="477">
        <f>IFERROR('Productive Hours'!$D31*'Productive Hours'!$Y31,0)</f>
        <v>0</v>
      </c>
      <c r="AC21" s="304">
        <f>IFERROR('Productive Hours'!$E31/'Productive Hours'!$D31*'Rate summary'!$AB21,0)</f>
        <v>0</v>
      </c>
      <c r="AE21" s="565">
        <f t="shared" si="4"/>
        <v>18</v>
      </c>
      <c r="AF21" s="305" t="str">
        <f>'Productive Hours'!$B31</f>
        <v xml:space="preserve">   </v>
      </c>
      <c r="AG21" s="304">
        <f>IFERROR('Productive Hours'!$Z31,0)</f>
        <v>0</v>
      </c>
      <c r="AH21" s="477">
        <f>IFERROR('Productive Hours'!$D31*'Productive Hours'!$AA31,0)</f>
        <v>0</v>
      </c>
      <c r="AI21" s="304">
        <f>IFERROR('Productive Hours'!$E31/'Productive Hours'!$D31*'Rate summary'!$AH21,0)</f>
        <v>0</v>
      </c>
    </row>
    <row r="22" spans="1:35" ht="15" hidden="1" customHeight="1" outlineLevel="2">
      <c r="A22" s="565">
        <v>19</v>
      </c>
      <c r="B22" s="305" t="str">
        <f>'Productive Hours'!$B32</f>
        <v xml:space="preserve">   </v>
      </c>
      <c r="C22" s="304">
        <f>+'Productive Hours'!$P32</f>
        <v>0</v>
      </c>
      <c r="D22" s="477">
        <f>IFERROR('Productive Hours'!$D32*'Productive Hours'!$Q32,0)</f>
        <v>0</v>
      </c>
      <c r="E22" s="304">
        <f>IFERROR('Productive Hours'!$E32/'Productive Hours'!$D32*'Rate summary'!$D22,0)</f>
        <v>0</v>
      </c>
      <c r="G22" s="565">
        <f t="shared" si="0"/>
        <v>19</v>
      </c>
      <c r="H22" s="305" t="str">
        <f>'Productive Hours'!$B32</f>
        <v xml:space="preserve">   </v>
      </c>
      <c r="I22" s="304">
        <f>IFERROR('Productive Hours'!$R32,0)</f>
        <v>0</v>
      </c>
      <c r="J22" s="477">
        <f>IFERROR('Productive Hours'!$D32*'Productive Hours'!$S32,0)</f>
        <v>0</v>
      </c>
      <c r="K22" s="304">
        <f>IFERROR('Productive Hours'!$E32/'Productive Hours'!$D32*'Rate summary'!$J22,0)</f>
        <v>0</v>
      </c>
      <c r="M22" s="565">
        <f t="shared" si="1"/>
        <v>19</v>
      </c>
      <c r="N22" s="305" t="str">
        <f>'Productive Hours'!$B32</f>
        <v xml:space="preserve">   </v>
      </c>
      <c r="O22" s="304">
        <f>IFERROR('Productive Hours'!$T32,0)</f>
        <v>0</v>
      </c>
      <c r="P22" s="477">
        <f>IFERROR('Productive Hours'!$D32*'Productive Hours'!$U32,0)</f>
        <v>0</v>
      </c>
      <c r="Q22" s="304">
        <f>IFERROR('Productive Hours'!$E32/'Productive Hours'!$D32*'Rate summary'!$P22,0)</f>
        <v>0</v>
      </c>
      <c r="S22" s="565">
        <f t="shared" si="2"/>
        <v>19</v>
      </c>
      <c r="T22" s="305" t="str">
        <f>'Productive Hours'!$B32</f>
        <v xml:space="preserve">   </v>
      </c>
      <c r="U22" s="304">
        <f>IFERROR('Productive Hours'!$V32,0)</f>
        <v>0</v>
      </c>
      <c r="V22" s="477">
        <f>IFERROR('Productive Hours'!$D32*'Productive Hours'!$W32,0)</f>
        <v>0</v>
      </c>
      <c r="W22" s="304">
        <f>IFERROR('Productive Hours'!$E32/'Productive Hours'!$D32*'Rate summary'!$V22,0)</f>
        <v>0</v>
      </c>
      <c r="Y22" s="565">
        <f t="shared" si="3"/>
        <v>19</v>
      </c>
      <c r="Z22" s="305" t="str">
        <f>'Productive Hours'!$B32</f>
        <v xml:space="preserve">   </v>
      </c>
      <c r="AA22" s="304">
        <f>IFERROR('Productive Hours'!$X32,0)</f>
        <v>0</v>
      </c>
      <c r="AB22" s="477">
        <f>IFERROR('Productive Hours'!$D32*'Productive Hours'!$Y32,0)</f>
        <v>0</v>
      </c>
      <c r="AC22" s="304">
        <f>IFERROR('Productive Hours'!$E32/'Productive Hours'!$D32*'Rate summary'!$AB22,0)</f>
        <v>0</v>
      </c>
      <c r="AE22" s="565">
        <f t="shared" si="4"/>
        <v>19</v>
      </c>
      <c r="AF22" s="305" t="str">
        <f>'Productive Hours'!$B32</f>
        <v xml:space="preserve">   </v>
      </c>
      <c r="AG22" s="304">
        <f>IFERROR('Productive Hours'!$Z32,0)</f>
        <v>0</v>
      </c>
      <c r="AH22" s="477">
        <f>IFERROR('Productive Hours'!$D32*'Productive Hours'!$AA32,0)</f>
        <v>0</v>
      </c>
      <c r="AI22" s="304">
        <f>IFERROR('Productive Hours'!$E32/'Productive Hours'!$D32*'Rate summary'!$AH22,0)</f>
        <v>0</v>
      </c>
    </row>
    <row r="23" spans="1:35" ht="15" hidden="1" customHeight="1" outlineLevel="2">
      <c r="A23" s="565">
        <v>20</v>
      </c>
      <c r="B23" s="305" t="str">
        <f>'Productive Hours'!$B33</f>
        <v xml:space="preserve">   </v>
      </c>
      <c r="C23" s="304">
        <f>+'Productive Hours'!$P33</f>
        <v>0</v>
      </c>
      <c r="D23" s="477">
        <f>IFERROR('Productive Hours'!$D33*'Productive Hours'!$Q33,0)</f>
        <v>0</v>
      </c>
      <c r="E23" s="304">
        <f>IFERROR('Productive Hours'!$E33/'Productive Hours'!$D33*'Rate summary'!$D23,0)</f>
        <v>0</v>
      </c>
      <c r="G23" s="565">
        <f t="shared" si="0"/>
        <v>20</v>
      </c>
      <c r="H23" s="305" t="str">
        <f>'Productive Hours'!$B33</f>
        <v xml:space="preserve">   </v>
      </c>
      <c r="I23" s="304">
        <f>IFERROR('Productive Hours'!$R33,0)</f>
        <v>0</v>
      </c>
      <c r="J23" s="477">
        <f>IFERROR('Productive Hours'!$D33*'Productive Hours'!$S33,0)</f>
        <v>0</v>
      </c>
      <c r="K23" s="304">
        <f>IFERROR('Productive Hours'!$E33/'Productive Hours'!$D33*'Rate summary'!$J23,0)</f>
        <v>0</v>
      </c>
      <c r="M23" s="565">
        <f t="shared" si="1"/>
        <v>20</v>
      </c>
      <c r="N23" s="305" t="str">
        <f>'Productive Hours'!$B33</f>
        <v xml:space="preserve">   </v>
      </c>
      <c r="O23" s="304">
        <f>IFERROR('Productive Hours'!$T33,0)</f>
        <v>0</v>
      </c>
      <c r="P23" s="477">
        <f>IFERROR('Productive Hours'!$D33*'Productive Hours'!$U33,0)</f>
        <v>0</v>
      </c>
      <c r="Q23" s="304">
        <f>IFERROR('Productive Hours'!$E33/'Productive Hours'!$D33*'Rate summary'!$P23,0)</f>
        <v>0</v>
      </c>
      <c r="S23" s="565">
        <f t="shared" si="2"/>
        <v>20</v>
      </c>
      <c r="T23" s="305" t="str">
        <f>'Productive Hours'!$B33</f>
        <v xml:space="preserve">   </v>
      </c>
      <c r="U23" s="304">
        <f>IFERROR('Productive Hours'!$V33,0)</f>
        <v>0</v>
      </c>
      <c r="V23" s="477">
        <f>IFERROR('Productive Hours'!$D33*'Productive Hours'!$W33,0)</f>
        <v>0</v>
      </c>
      <c r="W23" s="304">
        <f>IFERROR('Productive Hours'!$E33/'Productive Hours'!$D33*'Rate summary'!$V23,0)</f>
        <v>0</v>
      </c>
      <c r="Y23" s="565">
        <f t="shared" si="3"/>
        <v>20</v>
      </c>
      <c r="Z23" s="305" t="str">
        <f>'Productive Hours'!$B33</f>
        <v xml:space="preserve">   </v>
      </c>
      <c r="AA23" s="304">
        <f>IFERROR('Productive Hours'!$X33,0)</f>
        <v>0</v>
      </c>
      <c r="AB23" s="477">
        <f>IFERROR('Productive Hours'!$D33*'Productive Hours'!$Y33,0)</f>
        <v>0</v>
      </c>
      <c r="AC23" s="304">
        <f>IFERROR('Productive Hours'!$E33/'Productive Hours'!$D33*'Rate summary'!$AB23,0)</f>
        <v>0</v>
      </c>
      <c r="AE23" s="565">
        <f t="shared" si="4"/>
        <v>20</v>
      </c>
      <c r="AF23" s="305" t="str">
        <f>'Productive Hours'!$B33</f>
        <v xml:space="preserve">   </v>
      </c>
      <c r="AG23" s="304">
        <f>IFERROR('Productive Hours'!$Z33,0)</f>
        <v>0</v>
      </c>
      <c r="AH23" s="477">
        <f>IFERROR('Productive Hours'!$D33*'Productive Hours'!$AA33,0)</f>
        <v>0</v>
      </c>
      <c r="AI23" s="304">
        <f>IFERROR('Productive Hours'!$E33/'Productive Hours'!$D33*'Rate summary'!$AH23,0)</f>
        <v>0</v>
      </c>
    </row>
    <row r="24" spans="1:35" ht="15" customHeight="1" collapsed="1">
      <c r="A24" s="323" t="s">
        <v>499</v>
      </c>
      <c r="B24" s="313"/>
      <c r="C24" s="462">
        <f>SUBTOTAL(9,C4:C23)</f>
        <v>0</v>
      </c>
      <c r="D24" s="510">
        <f>SUBTOTAL(9,D4:D23)</f>
        <v>0</v>
      </c>
      <c r="E24" s="462">
        <f>SUBTOTAL(9,E4:E23)</f>
        <v>0</v>
      </c>
      <c r="G24" s="323" t="s">
        <v>499</v>
      </c>
      <c r="H24" s="313"/>
      <c r="I24" s="462">
        <f>SUBTOTAL(9,I4:I23)</f>
        <v>0</v>
      </c>
      <c r="J24" s="510">
        <f>SUBTOTAL(9,J4:J23)</f>
        <v>0</v>
      </c>
      <c r="K24" s="462">
        <f>SUBTOTAL(9,K4:K23)</f>
        <v>0</v>
      </c>
      <c r="M24" s="323" t="s">
        <v>499</v>
      </c>
      <c r="N24" s="313"/>
      <c r="O24" s="462">
        <f>SUBTOTAL(9,O4:O23)</f>
        <v>0</v>
      </c>
      <c r="P24" s="510">
        <f>SUBTOTAL(9,P4:P23)</f>
        <v>0</v>
      </c>
      <c r="Q24" s="462">
        <f>SUBTOTAL(9,Q4:Q23)</f>
        <v>0</v>
      </c>
      <c r="S24" s="323" t="s">
        <v>499</v>
      </c>
      <c r="T24" s="313"/>
      <c r="U24" s="462">
        <f>SUBTOTAL(9,U4:U23)</f>
        <v>0</v>
      </c>
      <c r="V24" s="510">
        <f>SUBTOTAL(9,V4:V23)</f>
        <v>0</v>
      </c>
      <c r="W24" s="462">
        <f>SUBTOTAL(9,W4:W23)</f>
        <v>0</v>
      </c>
      <c r="Y24" s="323" t="s">
        <v>499</v>
      </c>
      <c r="Z24" s="313"/>
      <c r="AA24" s="462">
        <f>SUBTOTAL(9,AA4:AA23)</f>
        <v>0</v>
      </c>
      <c r="AB24" s="510">
        <f>SUBTOTAL(9,AB4:AB23)</f>
        <v>0</v>
      </c>
      <c r="AC24" s="462">
        <f>SUBTOTAL(9,AC4:AC23)</f>
        <v>0</v>
      </c>
      <c r="AE24" s="323" t="s">
        <v>499</v>
      </c>
      <c r="AF24" s="313"/>
      <c r="AG24" s="462">
        <f>SUBTOTAL(9,AG4:AG23)</f>
        <v>0</v>
      </c>
      <c r="AH24" s="510">
        <f>SUBTOTAL(9,AH4:AH23)</f>
        <v>0</v>
      </c>
      <c r="AI24" s="462">
        <f>SUBTOTAL(9,AI4:AI23)</f>
        <v>0</v>
      </c>
    </row>
    <row r="25" spans="1:35" ht="15" customHeight="1">
      <c r="A25" s="309"/>
      <c r="B25" s="309"/>
      <c r="C25" s="309"/>
      <c r="D25" s="309"/>
      <c r="E25" s="309"/>
      <c r="G25" s="309"/>
      <c r="H25" s="309"/>
      <c r="I25" s="309"/>
      <c r="J25" s="309"/>
      <c r="K25" s="309"/>
      <c r="M25" s="309"/>
      <c r="N25" s="309"/>
      <c r="O25" s="309"/>
      <c r="P25" s="309"/>
      <c r="Q25" s="309"/>
      <c r="S25" s="309"/>
      <c r="T25" s="309"/>
      <c r="U25" s="309"/>
      <c r="V25" s="309"/>
      <c r="W25" s="309"/>
      <c r="Y25" s="309"/>
      <c r="Z25" s="309"/>
      <c r="AA25" s="309"/>
      <c r="AB25" s="309"/>
      <c r="AC25" s="309"/>
      <c r="AE25" s="309"/>
      <c r="AF25" s="309"/>
      <c r="AG25" s="309"/>
      <c r="AH25" s="309"/>
      <c r="AI25" s="309"/>
    </row>
    <row r="26" spans="1:35" ht="15" customHeight="1">
      <c r="A26" s="328" t="s">
        <v>123</v>
      </c>
      <c r="B26" s="328"/>
      <c r="C26" s="328"/>
      <c r="D26" s="328"/>
      <c r="E26" s="307"/>
      <c r="G26" s="328" t="s">
        <v>123</v>
      </c>
      <c r="H26" s="328"/>
      <c r="I26" s="328"/>
      <c r="J26" s="328"/>
      <c r="K26" s="307"/>
      <c r="M26" s="328" t="s">
        <v>123</v>
      </c>
      <c r="N26" s="328"/>
      <c r="O26" s="328"/>
      <c r="P26" s="328"/>
      <c r="Q26" s="307"/>
      <c r="S26" s="328" t="s">
        <v>123</v>
      </c>
      <c r="T26" s="328"/>
      <c r="U26" s="328"/>
      <c r="V26" s="328"/>
      <c r="W26" s="307"/>
      <c r="Y26" s="328" t="s">
        <v>123</v>
      </c>
      <c r="Z26" s="328"/>
      <c r="AA26" s="328"/>
      <c r="AB26" s="328"/>
      <c r="AC26" s="307"/>
      <c r="AE26" s="328" t="s">
        <v>123</v>
      </c>
      <c r="AF26" s="328"/>
      <c r="AG26" s="328"/>
      <c r="AH26" s="328"/>
      <c r="AI26" s="307"/>
    </row>
    <row r="27" spans="1:35" ht="15" customHeight="1">
      <c r="A27" s="479" t="s">
        <v>122</v>
      </c>
      <c r="B27" s="309"/>
      <c r="C27" s="309"/>
      <c r="D27" s="309"/>
      <c r="E27" s="480"/>
      <c r="G27" s="479" t="s">
        <v>122</v>
      </c>
      <c r="H27" s="309"/>
      <c r="I27" s="309"/>
      <c r="J27" s="309"/>
      <c r="K27" s="480"/>
      <c r="M27" s="479" t="s">
        <v>122</v>
      </c>
      <c r="N27" s="309"/>
      <c r="O27" s="309"/>
      <c r="P27" s="309"/>
      <c r="Q27" s="480"/>
      <c r="S27" s="479" t="s">
        <v>122</v>
      </c>
      <c r="T27" s="309"/>
      <c r="U27" s="309"/>
      <c r="V27" s="309"/>
      <c r="W27" s="480"/>
      <c r="Y27" s="479" t="s">
        <v>122</v>
      </c>
      <c r="Z27" s="309"/>
      <c r="AA27" s="309"/>
      <c r="AB27" s="309"/>
      <c r="AC27" s="480"/>
      <c r="AE27" s="479" t="s">
        <v>122</v>
      </c>
      <c r="AF27" s="309"/>
      <c r="AG27" s="309"/>
      <c r="AH27" s="309"/>
      <c r="AI27" s="480"/>
    </row>
    <row r="28" spans="1:35" ht="15" customHeight="1">
      <c r="A28" s="309">
        <v>1</v>
      </c>
      <c r="B28" s="409"/>
      <c r="C28" s="409"/>
      <c r="D28" s="409"/>
      <c r="E28" s="493"/>
      <c r="G28" s="309">
        <f>A28</f>
        <v>1</v>
      </c>
      <c r="H28" s="409"/>
      <c r="I28" s="409"/>
      <c r="J28" s="409"/>
      <c r="K28" s="493"/>
      <c r="M28" s="309">
        <f>A28</f>
        <v>1</v>
      </c>
      <c r="N28" s="409"/>
      <c r="O28" s="409"/>
      <c r="P28" s="409"/>
      <c r="Q28" s="493"/>
      <c r="S28" s="309">
        <f>G28</f>
        <v>1</v>
      </c>
      <c r="T28" s="409"/>
      <c r="U28" s="409"/>
      <c r="V28" s="409"/>
      <c r="W28" s="493"/>
      <c r="Y28" s="309">
        <f>M28</f>
        <v>1</v>
      </c>
      <c r="Z28" s="409"/>
      <c r="AA28" s="409"/>
      <c r="AB28" s="409"/>
      <c r="AC28" s="493"/>
      <c r="AE28" s="309">
        <f>S28</f>
        <v>1</v>
      </c>
      <c r="AF28" s="409"/>
      <c r="AG28" s="409"/>
      <c r="AH28" s="409"/>
      <c r="AI28" s="493"/>
    </row>
    <row r="29" spans="1:35" ht="15" customHeight="1">
      <c r="A29" s="309">
        <v>2</v>
      </c>
      <c r="B29" s="409"/>
      <c r="C29" s="409"/>
      <c r="D29" s="409"/>
      <c r="E29" s="493"/>
      <c r="G29" s="309">
        <f t="shared" ref="G29:G37" si="5">A29</f>
        <v>2</v>
      </c>
      <c r="H29" s="409"/>
      <c r="I29" s="409"/>
      <c r="J29" s="409"/>
      <c r="K29" s="493"/>
      <c r="M29" s="309">
        <f t="shared" ref="M29:M37" si="6">A29</f>
        <v>2</v>
      </c>
      <c r="N29" s="409"/>
      <c r="O29" s="409"/>
      <c r="P29" s="409"/>
      <c r="Q29" s="493"/>
      <c r="S29" s="309">
        <f t="shared" ref="S29:S37" si="7">G29</f>
        <v>2</v>
      </c>
      <c r="T29" s="409"/>
      <c r="U29" s="409"/>
      <c r="V29" s="409"/>
      <c r="W29" s="493"/>
      <c r="Y29" s="309">
        <f t="shared" ref="Y29:Y37" si="8">M29</f>
        <v>2</v>
      </c>
      <c r="Z29" s="409"/>
      <c r="AA29" s="409"/>
      <c r="AB29" s="409"/>
      <c r="AC29" s="493"/>
      <c r="AE29" s="309">
        <f t="shared" ref="AE29:AE37" si="9">S29</f>
        <v>2</v>
      </c>
      <c r="AF29" s="409"/>
      <c r="AG29" s="409"/>
      <c r="AH29" s="409"/>
      <c r="AI29" s="493"/>
    </row>
    <row r="30" spans="1:35" ht="15" customHeight="1">
      <c r="A30" s="309">
        <v>3</v>
      </c>
      <c r="B30" s="409"/>
      <c r="C30" s="409"/>
      <c r="D30" s="409"/>
      <c r="E30" s="493"/>
      <c r="G30" s="309">
        <f t="shared" si="5"/>
        <v>3</v>
      </c>
      <c r="H30" s="409"/>
      <c r="I30" s="409"/>
      <c r="J30" s="409"/>
      <c r="K30" s="493"/>
      <c r="M30" s="309">
        <f t="shared" si="6"/>
        <v>3</v>
      </c>
      <c r="N30" s="409"/>
      <c r="O30" s="409"/>
      <c r="P30" s="409"/>
      <c r="Q30" s="493"/>
      <c r="S30" s="309">
        <f t="shared" si="7"/>
        <v>3</v>
      </c>
      <c r="T30" s="409"/>
      <c r="U30" s="409"/>
      <c r="V30" s="409"/>
      <c r="W30" s="493"/>
      <c r="Y30" s="309">
        <f t="shared" si="8"/>
        <v>3</v>
      </c>
      <c r="Z30" s="409"/>
      <c r="AA30" s="409"/>
      <c r="AB30" s="409"/>
      <c r="AC30" s="493"/>
      <c r="AE30" s="309">
        <f t="shared" si="9"/>
        <v>3</v>
      </c>
      <c r="AF30" s="409"/>
      <c r="AG30" s="409"/>
      <c r="AH30" s="409"/>
      <c r="AI30" s="493"/>
    </row>
    <row r="31" spans="1:35" ht="15" customHeight="1">
      <c r="A31" s="309">
        <v>4</v>
      </c>
      <c r="B31" s="409"/>
      <c r="C31" s="409"/>
      <c r="D31" s="409"/>
      <c r="E31" s="493"/>
      <c r="G31" s="309">
        <f t="shared" si="5"/>
        <v>4</v>
      </c>
      <c r="H31" s="409"/>
      <c r="I31" s="409"/>
      <c r="J31" s="409"/>
      <c r="K31" s="493"/>
      <c r="M31" s="309">
        <f t="shared" si="6"/>
        <v>4</v>
      </c>
      <c r="N31" s="409"/>
      <c r="O31" s="409"/>
      <c r="P31" s="409"/>
      <c r="Q31" s="493"/>
      <c r="S31" s="309">
        <f t="shared" si="7"/>
        <v>4</v>
      </c>
      <c r="T31" s="409"/>
      <c r="U31" s="409"/>
      <c r="V31" s="409"/>
      <c r="W31" s="493"/>
      <c r="Y31" s="309">
        <f t="shared" si="8"/>
        <v>4</v>
      </c>
      <c r="Z31" s="409"/>
      <c r="AA31" s="409"/>
      <c r="AB31" s="409"/>
      <c r="AC31" s="493"/>
      <c r="AE31" s="309">
        <f t="shared" si="9"/>
        <v>4</v>
      </c>
      <c r="AF31" s="409"/>
      <c r="AG31" s="409"/>
      <c r="AH31" s="409"/>
      <c r="AI31" s="493"/>
    </row>
    <row r="32" spans="1:35" ht="15" customHeight="1">
      <c r="A32" s="309">
        <v>5</v>
      </c>
      <c r="B32" s="409"/>
      <c r="C32" s="409"/>
      <c r="D32" s="409"/>
      <c r="E32" s="493"/>
      <c r="G32" s="309">
        <f t="shared" si="5"/>
        <v>5</v>
      </c>
      <c r="H32" s="409"/>
      <c r="I32" s="409"/>
      <c r="J32" s="409"/>
      <c r="K32" s="493"/>
      <c r="M32" s="309">
        <f t="shared" si="6"/>
        <v>5</v>
      </c>
      <c r="N32" s="409"/>
      <c r="O32" s="409"/>
      <c r="P32" s="409"/>
      <c r="Q32" s="493"/>
      <c r="S32" s="309">
        <f t="shared" si="7"/>
        <v>5</v>
      </c>
      <c r="T32" s="409"/>
      <c r="U32" s="409"/>
      <c r="V32" s="409"/>
      <c r="W32" s="493"/>
      <c r="Y32" s="309">
        <f t="shared" si="8"/>
        <v>5</v>
      </c>
      <c r="Z32" s="409"/>
      <c r="AA32" s="409"/>
      <c r="AB32" s="409"/>
      <c r="AC32" s="493"/>
      <c r="AE32" s="309">
        <f t="shared" si="9"/>
        <v>5</v>
      </c>
      <c r="AF32" s="409"/>
      <c r="AG32" s="409"/>
      <c r="AH32" s="409"/>
      <c r="AI32" s="493"/>
    </row>
    <row r="33" spans="1:64" ht="15" customHeight="1">
      <c r="A33" s="309">
        <v>6</v>
      </c>
      <c r="B33" s="409"/>
      <c r="C33" s="409"/>
      <c r="D33" s="409"/>
      <c r="E33" s="493"/>
      <c r="G33" s="309">
        <f t="shared" si="5"/>
        <v>6</v>
      </c>
      <c r="H33" s="409"/>
      <c r="I33" s="409"/>
      <c r="J33" s="409"/>
      <c r="K33" s="493"/>
      <c r="M33" s="309">
        <f t="shared" si="6"/>
        <v>6</v>
      </c>
      <c r="N33" s="409"/>
      <c r="O33" s="409"/>
      <c r="P33" s="409"/>
      <c r="Q33" s="493"/>
      <c r="S33" s="309">
        <f t="shared" si="7"/>
        <v>6</v>
      </c>
      <c r="T33" s="409"/>
      <c r="U33" s="409"/>
      <c r="V33" s="409"/>
      <c r="W33" s="493"/>
      <c r="Y33" s="309">
        <f t="shared" si="8"/>
        <v>6</v>
      </c>
      <c r="Z33" s="409"/>
      <c r="AA33" s="409"/>
      <c r="AB33" s="409"/>
      <c r="AC33" s="493"/>
      <c r="AE33" s="309">
        <f t="shared" si="9"/>
        <v>6</v>
      </c>
      <c r="AF33" s="409"/>
      <c r="AG33" s="409"/>
      <c r="AH33" s="409"/>
      <c r="AI33" s="493"/>
    </row>
    <row r="34" spans="1:64" ht="15" hidden="1" customHeight="1" outlineLevel="1">
      <c r="A34" s="309">
        <v>7</v>
      </c>
      <c r="B34" s="409"/>
      <c r="C34" s="409"/>
      <c r="D34" s="409"/>
      <c r="E34" s="493"/>
      <c r="G34" s="309">
        <f t="shared" si="5"/>
        <v>7</v>
      </c>
      <c r="H34" s="409"/>
      <c r="I34" s="409"/>
      <c r="J34" s="409"/>
      <c r="K34" s="493"/>
      <c r="M34" s="309">
        <f t="shared" si="6"/>
        <v>7</v>
      </c>
      <c r="N34" s="409"/>
      <c r="O34" s="409"/>
      <c r="P34" s="409"/>
      <c r="Q34" s="493"/>
      <c r="S34" s="309">
        <f t="shared" si="7"/>
        <v>7</v>
      </c>
      <c r="T34" s="409"/>
      <c r="U34" s="409"/>
      <c r="V34" s="409"/>
      <c r="W34" s="493"/>
      <c r="Y34" s="309">
        <f t="shared" si="8"/>
        <v>7</v>
      </c>
      <c r="Z34" s="409"/>
      <c r="AA34" s="409"/>
      <c r="AB34" s="409"/>
      <c r="AC34" s="493"/>
      <c r="AE34" s="309">
        <f t="shared" si="9"/>
        <v>7</v>
      </c>
      <c r="AF34" s="409"/>
      <c r="AG34" s="409"/>
      <c r="AH34" s="409"/>
      <c r="AI34" s="493"/>
    </row>
    <row r="35" spans="1:64" ht="15" hidden="1" customHeight="1" outlineLevel="1">
      <c r="A35" s="309">
        <v>8</v>
      </c>
      <c r="B35" s="409"/>
      <c r="C35" s="409"/>
      <c r="D35" s="409"/>
      <c r="E35" s="493"/>
      <c r="G35" s="309">
        <f t="shared" si="5"/>
        <v>8</v>
      </c>
      <c r="H35" s="409"/>
      <c r="I35" s="409"/>
      <c r="J35" s="409"/>
      <c r="K35" s="493"/>
      <c r="M35" s="309">
        <f t="shared" si="6"/>
        <v>8</v>
      </c>
      <c r="N35" s="409"/>
      <c r="O35" s="409"/>
      <c r="P35" s="409"/>
      <c r="Q35" s="493"/>
      <c r="S35" s="309">
        <f t="shared" si="7"/>
        <v>8</v>
      </c>
      <c r="T35" s="409"/>
      <c r="U35" s="409"/>
      <c r="V35" s="409"/>
      <c r="W35" s="493"/>
      <c r="Y35" s="309">
        <f t="shared" si="8"/>
        <v>8</v>
      </c>
      <c r="Z35" s="409"/>
      <c r="AA35" s="409"/>
      <c r="AB35" s="409"/>
      <c r="AC35" s="493"/>
      <c r="AE35" s="309">
        <f t="shared" si="9"/>
        <v>8</v>
      </c>
      <c r="AF35" s="409"/>
      <c r="AG35" s="409"/>
      <c r="AH35" s="409"/>
      <c r="AI35" s="493"/>
    </row>
    <row r="36" spans="1:64" ht="15" hidden="1" customHeight="1" outlineLevel="1">
      <c r="A36" s="309">
        <v>9</v>
      </c>
      <c r="B36" s="409"/>
      <c r="C36" s="409"/>
      <c r="D36" s="409"/>
      <c r="E36" s="493"/>
      <c r="G36" s="309">
        <f t="shared" si="5"/>
        <v>9</v>
      </c>
      <c r="H36" s="409"/>
      <c r="I36" s="409"/>
      <c r="J36" s="409"/>
      <c r="K36" s="493"/>
      <c r="M36" s="309">
        <f t="shared" si="6"/>
        <v>9</v>
      </c>
      <c r="N36" s="409"/>
      <c r="O36" s="409"/>
      <c r="P36" s="409"/>
      <c r="Q36" s="493"/>
      <c r="S36" s="309">
        <f t="shared" si="7"/>
        <v>9</v>
      </c>
      <c r="T36" s="409"/>
      <c r="U36" s="409"/>
      <c r="V36" s="409"/>
      <c r="W36" s="493"/>
      <c r="Y36" s="309">
        <f t="shared" si="8"/>
        <v>9</v>
      </c>
      <c r="Z36" s="409"/>
      <c r="AA36" s="409"/>
      <c r="AB36" s="409"/>
      <c r="AC36" s="493"/>
      <c r="AE36" s="309">
        <f t="shared" si="9"/>
        <v>9</v>
      </c>
      <c r="AF36" s="409"/>
      <c r="AG36" s="409"/>
      <c r="AH36" s="409"/>
      <c r="AI36" s="493"/>
    </row>
    <row r="37" spans="1:64" ht="15" hidden="1" customHeight="1" outlineLevel="1">
      <c r="A37" s="309">
        <v>10</v>
      </c>
      <c r="B37" s="409"/>
      <c r="C37" s="409"/>
      <c r="D37" s="409"/>
      <c r="E37" s="493"/>
      <c r="G37" s="309">
        <f t="shared" si="5"/>
        <v>10</v>
      </c>
      <c r="H37" s="409"/>
      <c r="I37" s="409"/>
      <c r="J37" s="409"/>
      <c r="K37" s="493"/>
      <c r="M37" s="309">
        <f t="shared" si="6"/>
        <v>10</v>
      </c>
      <c r="N37" s="409"/>
      <c r="O37" s="409"/>
      <c r="P37" s="409"/>
      <c r="Q37" s="493"/>
      <c r="S37" s="309">
        <f t="shared" si="7"/>
        <v>10</v>
      </c>
      <c r="T37" s="409"/>
      <c r="U37" s="409"/>
      <c r="V37" s="409"/>
      <c r="W37" s="493"/>
      <c r="Y37" s="309">
        <f t="shared" si="8"/>
        <v>10</v>
      </c>
      <c r="Z37" s="409"/>
      <c r="AA37" s="409"/>
      <c r="AB37" s="409"/>
      <c r="AC37" s="493"/>
      <c r="AE37" s="309">
        <f t="shared" si="9"/>
        <v>10</v>
      </c>
      <c r="AF37" s="409"/>
      <c r="AG37" s="409"/>
      <c r="AH37" s="409"/>
      <c r="AI37" s="493"/>
    </row>
    <row r="38" spans="1:64" s="12" customFormat="1" ht="15" customHeight="1" collapsed="1">
      <c r="A38" s="481" t="s">
        <v>500</v>
      </c>
      <c r="B38" s="358"/>
      <c r="C38" s="358"/>
      <c r="D38" s="511">
        <f>SUBTOTAL(9,D28:D37)</f>
        <v>0</v>
      </c>
      <c r="E38" s="482">
        <f>SUBTOTAL(9,E28:E37)</f>
        <v>0</v>
      </c>
      <c r="G38" s="481" t="s">
        <v>500</v>
      </c>
      <c r="H38" s="358"/>
      <c r="I38" s="358"/>
      <c r="J38" s="511">
        <f>SUBTOTAL(9,J28:J37)</f>
        <v>0</v>
      </c>
      <c r="K38" s="482">
        <f>SUBTOTAL(9,K28:K37)</f>
        <v>0</v>
      </c>
      <c r="M38" s="481" t="s">
        <v>500</v>
      </c>
      <c r="N38" s="358"/>
      <c r="O38" s="358"/>
      <c r="P38" s="511">
        <f>SUBTOTAL(9,P28:P37)</f>
        <v>0</v>
      </c>
      <c r="Q38" s="482">
        <f>SUBTOTAL(9,Q28:Q37)</f>
        <v>0</v>
      </c>
      <c r="S38" s="481" t="s">
        <v>500</v>
      </c>
      <c r="T38" s="358"/>
      <c r="U38" s="358"/>
      <c r="V38" s="511">
        <f>SUBTOTAL(9,V28:V37)</f>
        <v>0</v>
      </c>
      <c r="W38" s="482">
        <f>SUM(W28:W37)</f>
        <v>0</v>
      </c>
      <c r="Y38" s="481" t="s">
        <v>500</v>
      </c>
      <c r="Z38" s="358"/>
      <c r="AA38" s="358"/>
      <c r="AB38" s="511">
        <f>SUBTOTAL(9,AB28:AB37)</f>
        <v>0</v>
      </c>
      <c r="AC38" s="482">
        <f>SUBTOTAL(9,AC28:AC37)</f>
        <v>0</v>
      </c>
      <c r="AE38" s="481" t="s">
        <v>500</v>
      </c>
      <c r="AF38" s="358"/>
      <c r="AG38" s="358"/>
      <c r="AH38" s="511">
        <f>SUBTOTAL(9,AH28:AH37)</f>
        <v>0</v>
      </c>
      <c r="AI38" s="482">
        <f>SUBTOTAL(9,AI28:AI37)</f>
        <v>0</v>
      </c>
      <c r="AK38" s="509"/>
      <c r="AL38" s="509"/>
      <c r="AM38" s="509"/>
      <c r="AN38" s="509"/>
      <c r="AO38" s="509"/>
      <c r="AP38" s="509"/>
      <c r="AQ38" s="509"/>
      <c r="AR38" s="509"/>
      <c r="AS38" s="509"/>
      <c r="AT38" s="509"/>
      <c r="AU38" s="509"/>
      <c r="AV38" s="509"/>
      <c r="AW38" s="509"/>
      <c r="AX38" s="509"/>
      <c r="AY38" s="509"/>
      <c r="AZ38" s="509"/>
      <c r="BA38" s="509"/>
      <c r="BB38" s="509"/>
      <c r="BC38" s="509"/>
      <c r="BD38" s="509"/>
      <c r="BE38" s="509"/>
      <c r="BF38" s="509"/>
      <c r="BG38" s="509"/>
      <c r="BH38" s="509"/>
      <c r="BI38" s="509"/>
      <c r="BJ38" s="509"/>
      <c r="BK38" s="509"/>
      <c r="BL38" s="509"/>
    </row>
    <row r="39" spans="1:64" s="12" customFormat="1" ht="15" customHeight="1">
      <c r="A39" s="479"/>
      <c r="B39" s="328"/>
      <c r="C39" s="328"/>
      <c r="D39" s="328"/>
      <c r="E39" s="307"/>
      <c r="G39" s="479"/>
      <c r="H39" s="328"/>
      <c r="I39" s="328"/>
      <c r="J39" s="328"/>
      <c r="K39" s="307"/>
      <c r="M39" s="479"/>
      <c r="N39" s="328"/>
      <c r="O39" s="328"/>
      <c r="P39" s="328"/>
      <c r="Q39" s="307"/>
      <c r="S39" s="479"/>
      <c r="T39" s="328"/>
      <c r="U39" s="328"/>
      <c r="V39" s="328"/>
      <c r="W39" s="307"/>
      <c r="Y39" s="479"/>
      <c r="Z39" s="328"/>
      <c r="AA39" s="328"/>
      <c r="AB39" s="328"/>
      <c r="AC39" s="307"/>
      <c r="AE39" s="479"/>
      <c r="AF39" s="328"/>
      <c r="AG39" s="328"/>
      <c r="AH39" s="328"/>
      <c r="AI39" s="307"/>
      <c r="AK39" s="509"/>
      <c r="AL39" s="509"/>
      <c r="AM39" s="509"/>
      <c r="AN39" s="509"/>
      <c r="AO39" s="509"/>
      <c r="AP39" s="509"/>
      <c r="AQ39" s="509"/>
      <c r="AR39" s="509"/>
      <c r="AS39" s="509"/>
      <c r="AT39" s="509"/>
      <c r="AU39" s="509"/>
      <c r="AV39" s="509"/>
      <c r="AW39" s="509"/>
      <c r="AX39" s="509"/>
      <c r="AY39" s="509"/>
      <c r="AZ39" s="509"/>
      <c r="BA39" s="509"/>
      <c r="BB39" s="509"/>
      <c r="BC39" s="509"/>
      <c r="BD39" s="509"/>
      <c r="BE39" s="509"/>
      <c r="BF39" s="509"/>
      <c r="BG39" s="509"/>
      <c r="BH39" s="509"/>
      <c r="BI39" s="509"/>
      <c r="BJ39" s="509"/>
      <c r="BK39" s="509"/>
      <c r="BL39" s="509"/>
    </row>
    <row r="40" spans="1:64" ht="15" customHeight="1">
      <c r="A40" s="479" t="s">
        <v>129</v>
      </c>
      <c r="B40" s="309"/>
      <c r="C40" s="309"/>
      <c r="D40" s="309"/>
      <c r="E40" s="480"/>
      <c r="G40" s="479" t="s">
        <v>129</v>
      </c>
      <c r="H40" s="309"/>
      <c r="I40" s="309"/>
      <c r="J40" s="309"/>
      <c r="K40" s="480"/>
      <c r="M40" s="479" t="s">
        <v>129</v>
      </c>
      <c r="N40" s="309"/>
      <c r="O40" s="309"/>
      <c r="P40" s="309"/>
      <c r="Q40" s="480"/>
      <c r="S40" s="479" t="s">
        <v>129</v>
      </c>
      <c r="T40" s="309"/>
      <c r="U40" s="309"/>
      <c r="V40" s="309"/>
      <c r="W40" s="480"/>
      <c r="Y40" s="479" t="s">
        <v>129</v>
      </c>
      <c r="Z40" s="309"/>
      <c r="AA40" s="309"/>
      <c r="AB40" s="309"/>
      <c r="AC40" s="480"/>
      <c r="AE40" s="479" t="s">
        <v>129</v>
      </c>
      <c r="AF40" s="309"/>
      <c r="AG40" s="309"/>
      <c r="AH40" s="309"/>
      <c r="AI40" s="480"/>
    </row>
    <row r="41" spans="1:64" ht="15" customHeight="1">
      <c r="A41" s="309">
        <v>1</v>
      </c>
      <c r="B41" s="309" t="s">
        <v>518</v>
      </c>
      <c r="C41" s="309"/>
      <c r="D41" s="309"/>
      <c r="E41" s="560">
        <f>SUMIF(Depreciation!D:D,B41,Depreciation!W:W)</f>
        <v>0</v>
      </c>
      <c r="G41" s="309">
        <v>1</v>
      </c>
      <c r="H41" s="309" t="s">
        <v>518</v>
      </c>
      <c r="I41" s="309"/>
      <c r="J41" s="309"/>
      <c r="K41" s="560">
        <f>SUMIF(Depreciation!D:D,H41,Depreciation!X:X)</f>
        <v>0</v>
      </c>
      <c r="M41" s="309">
        <v>1</v>
      </c>
      <c r="N41" s="309" t="s">
        <v>518</v>
      </c>
      <c r="O41" s="309"/>
      <c r="P41" s="309"/>
      <c r="Q41" s="560">
        <f>SUMIF(Depreciation!D:D,N41,Depreciation!Y:Y)</f>
        <v>0</v>
      </c>
      <c r="S41" s="309">
        <v>1</v>
      </c>
      <c r="T41" s="309" t="s">
        <v>518</v>
      </c>
      <c r="U41" s="309"/>
      <c r="V41" s="309"/>
      <c r="W41" s="560">
        <f>SUMIF(Depreciation!D:D,T41,Depreciation!Z:Z)</f>
        <v>0</v>
      </c>
      <c r="Y41" s="309">
        <v>1</v>
      </c>
      <c r="Z41" s="309" t="s">
        <v>518</v>
      </c>
      <c r="AA41" s="309"/>
      <c r="AB41" s="309"/>
      <c r="AC41" s="560">
        <f>SUMIF(Depreciation!D:D,Z41,Depreciation!AA:AA)</f>
        <v>0</v>
      </c>
      <c r="AE41" s="309">
        <v>1</v>
      </c>
      <c r="AF41" s="309" t="s">
        <v>518</v>
      </c>
      <c r="AG41" s="309"/>
      <c r="AH41" s="309"/>
      <c r="AI41" s="560">
        <f>SUMIF(Depreciation!D:D,AF41,Depreciation!AB:AB)</f>
        <v>0</v>
      </c>
    </row>
    <row r="42" spans="1:64" ht="15" customHeight="1">
      <c r="A42" s="309">
        <v>2</v>
      </c>
      <c r="B42" s="309" t="s">
        <v>519</v>
      </c>
      <c r="C42" s="309"/>
      <c r="D42" s="309"/>
      <c r="E42" s="560">
        <f>SUMIF(Depreciation!D:D,B42,Depreciation!W:W)</f>
        <v>0</v>
      </c>
      <c r="G42" s="309">
        <v>2</v>
      </c>
      <c r="H42" s="309" t="s">
        <v>519</v>
      </c>
      <c r="I42" s="309"/>
      <c r="J42" s="309"/>
      <c r="K42" s="560">
        <f>SUMIF(Depreciation!D:D,H42,Depreciation!X:X)</f>
        <v>0</v>
      </c>
      <c r="M42" s="309">
        <v>2</v>
      </c>
      <c r="N42" s="309" t="s">
        <v>519</v>
      </c>
      <c r="O42" s="309"/>
      <c r="P42" s="309"/>
      <c r="Q42" s="560">
        <f>SUMIF(Depreciation!D:D,N42,Depreciation!Y:Y)</f>
        <v>0</v>
      </c>
      <c r="S42" s="309">
        <v>2</v>
      </c>
      <c r="T42" s="309" t="s">
        <v>519</v>
      </c>
      <c r="U42" s="309"/>
      <c r="V42" s="309"/>
      <c r="W42" s="560">
        <f>SUMIF(Depreciation!D:D,T42,Depreciation!Z:Z)</f>
        <v>0</v>
      </c>
      <c r="Y42" s="309">
        <v>2</v>
      </c>
      <c r="Z42" s="309" t="s">
        <v>519</v>
      </c>
      <c r="AA42" s="309"/>
      <c r="AB42" s="309"/>
      <c r="AC42" s="560">
        <f>SUMIF(Depreciation!D:D,Z42,Depreciation!AA:AA)</f>
        <v>0</v>
      </c>
      <c r="AE42" s="309">
        <v>2</v>
      </c>
      <c r="AF42" s="309" t="s">
        <v>519</v>
      </c>
      <c r="AG42" s="309"/>
      <c r="AH42" s="309"/>
      <c r="AI42" s="560">
        <f>SUMIF(Depreciation!D:D,AF42,Depreciation!AB:AB)</f>
        <v>0</v>
      </c>
    </row>
    <row r="43" spans="1:64" s="289" customFormat="1" ht="15" customHeight="1">
      <c r="A43" s="483" t="s">
        <v>501</v>
      </c>
      <c r="B43" s="484"/>
      <c r="C43" s="484"/>
      <c r="D43" s="512">
        <f>SUBTOTAL(9,D41:D42)</f>
        <v>0</v>
      </c>
      <c r="E43" s="485">
        <f>SUBTOTAL(9,E41:E42)</f>
        <v>0</v>
      </c>
      <c r="G43" s="483" t="s">
        <v>501</v>
      </c>
      <c r="H43" s="484"/>
      <c r="I43" s="484"/>
      <c r="J43" s="512">
        <f>SUBTOTAL(9,J41:J42)</f>
        <v>0</v>
      </c>
      <c r="K43" s="485">
        <f>SUBTOTAL(9,K41:K42)</f>
        <v>0</v>
      </c>
      <c r="M43" s="483" t="s">
        <v>501</v>
      </c>
      <c r="N43" s="484"/>
      <c r="O43" s="484"/>
      <c r="P43" s="512">
        <f>SUBTOTAL(9,P41:P42)</f>
        <v>0</v>
      </c>
      <c r="Q43" s="485">
        <f>SUBTOTAL(9,Q41:Q42)</f>
        <v>0</v>
      </c>
      <c r="S43" s="483" t="s">
        <v>501</v>
      </c>
      <c r="T43" s="484"/>
      <c r="U43" s="484"/>
      <c r="V43" s="512">
        <f>SUBTOTAL(9,V41:V42)</f>
        <v>0</v>
      </c>
      <c r="W43" s="485">
        <f>SUBTOTAL(9,W41:W42)</f>
        <v>0</v>
      </c>
      <c r="Y43" s="483" t="s">
        <v>501</v>
      </c>
      <c r="Z43" s="484"/>
      <c r="AA43" s="484"/>
      <c r="AB43" s="512">
        <f>SUBTOTAL(9,AB41:AB42)</f>
        <v>0</v>
      </c>
      <c r="AC43" s="485">
        <f>SUBTOTAL(9,AC41:AC42)</f>
        <v>0</v>
      </c>
      <c r="AE43" s="483" t="s">
        <v>501</v>
      </c>
      <c r="AF43" s="484"/>
      <c r="AG43" s="484"/>
      <c r="AH43" s="512">
        <f>SUBTOTAL(9,AH41:AH42)</f>
        <v>0</v>
      </c>
      <c r="AI43" s="485">
        <f>SUBTOTAL(9,AI41:AI42)</f>
        <v>0</v>
      </c>
      <c r="AK43" s="569"/>
      <c r="AL43" s="569"/>
      <c r="AM43" s="569"/>
      <c r="AN43" s="569"/>
      <c r="AO43" s="569"/>
      <c r="AP43" s="569"/>
      <c r="AQ43" s="569"/>
      <c r="AR43" s="569"/>
      <c r="AS43" s="569"/>
      <c r="AT43" s="569"/>
      <c r="AU43" s="569"/>
      <c r="AV43" s="569"/>
      <c r="AW43" s="569"/>
      <c r="AX43" s="569"/>
      <c r="AY43" s="569"/>
      <c r="AZ43" s="569"/>
      <c r="BA43" s="569"/>
      <c r="BB43" s="569"/>
      <c r="BC43" s="569"/>
      <c r="BD43" s="569"/>
      <c r="BE43" s="569"/>
      <c r="BF43" s="569"/>
      <c r="BG43" s="569"/>
      <c r="BH43" s="569"/>
      <c r="BI43" s="569"/>
      <c r="BJ43" s="569"/>
      <c r="BK43" s="569"/>
      <c r="BL43" s="569"/>
    </row>
    <row r="44" spans="1:64" s="289" customFormat="1" ht="15" customHeight="1">
      <c r="A44" s="486"/>
      <c r="B44" s="408"/>
      <c r="C44" s="408"/>
      <c r="D44" s="408"/>
      <c r="E44" s="487"/>
      <c r="G44" s="486"/>
      <c r="H44" s="408"/>
      <c r="I44" s="408"/>
      <c r="J44" s="408"/>
      <c r="K44" s="487"/>
      <c r="M44" s="486"/>
      <c r="N44" s="408"/>
      <c r="O44" s="408"/>
      <c r="P44" s="408"/>
      <c r="Q44" s="487"/>
      <c r="S44" s="486"/>
      <c r="T44" s="408"/>
      <c r="U44" s="408"/>
      <c r="V44" s="408"/>
      <c r="W44" s="487"/>
      <c r="Y44" s="486"/>
      <c r="Z44" s="408"/>
      <c r="AA44" s="408"/>
      <c r="AB44" s="408"/>
      <c r="AC44" s="487"/>
      <c r="AE44" s="486"/>
      <c r="AF44" s="408"/>
      <c r="AG44" s="408"/>
      <c r="AH44" s="408"/>
      <c r="AI44" s="487"/>
      <c r="AK44" s="569"/>
      <c r="AL44" s="569"/>
      <c r="AM44" s="569"/>
      <c r="AN44" s="569"/>
      <c r="AO44" s="569"/>
      <c r="AP44" s="569"/>
      <c r="AQ44" s="569"/>
      <c r="AR44" s="569"/>
      <c r="AS44" s="569"/>
      <c r="AT44" s="569"/>
      <c r="AU44" s="569"/>
      <c r="AV44" s="569"/>
      <c r="AW44" s="569"/>
      <c r="AX44" s="569"/>
      <c r="AY44" s="569"/>
      <c r="AZ44" s="569"/>
      <c r="BA44" s="569"/>
      <c r="BB44" s="569"/>
      <c r="BC44" s="569"/>
      <c r="BD44" s="569"/>
      <c r="BE44" s="569"/>
      <c r="BF44" s="569"/>
      <c r="BG44" s="569"/>
      <c r="BH44" s="569"/>
      <c r="BI44" s="569"/>
      <c r="BJ44" s="569"/>
      <c r="BK44" s="569"/>
      <c r="BL44" s="569"/>
    </row>
    <row r="45" spans="1:64" ht="15" customHeight="1">
      <c r="A45" s="479" t="s">
        <v>56</v>
      </c>
      <c r="B45" s="309"/>
      <c r="C45" s="309"/>
      <c r="D45" s="309"/>
      <c r="E45" s="480"/>
      <c r="G45" s="479" t="s">
        <v>56</v>
      </c>
      <c r="H45" s="309"/>
      <c r="I45" s="309"/>
      <c r="J45" s="309"/>
      <c r="K45" s="480"/>
      <c r="M45" s="479" t="s">
        <v>56</v>
      </c>
      <c r="N45" s="309"/>
      <c r="O45" s="309"/>
      <c r="P45" s="309"/>
      <c r="Q45" s="480"/>
      <c r="S45" s="479" t="s">
        <v>56</v>
      </c>
      <c r="T45" s="309"/>
      <c r="U45" s="309"/>
      <c r="V45" s="309"/>
      <c r="W45" s="480"/>
      <c r="Y45" s="479" t="s">
        <v>56</v>
      </c>
      <c r="Z45" s="309"/>
      <c r="AA45" s="309"/>
      <c r="AB45" s="309"/>
      <c r="AC45" s="480"/>
      <c r="AE45" s="479" t="s">
        <v>56</v>
      </c>
      <c r="AF45" s="309"/>
      <c r="AG45" s="309"/>
      <c r="AH45" s="309"/>
      <c r="AI45" s="480"/>
    </row>
    <row r="46" spans="1:64" ht="15" customHeight="1">
      <c r="A46" s="309">
        <v>1</v>
      </c>
      <c r="B46" s="409"/>
      <c r="C46" s="409"/>
      <c r="D46" s="409"/>
      <c r="E46" s="493"/>
      <c r="G46" s="309">
        <v>1</v>
      </c>
      <c r="H46" s="409"/>
      <c r="I46" s="409"/>
      <c r="J46" s="409"/>
      <c r="K46" s="493"/>
      <c r="M46" s="309">
        <v>1</v>
      </c>
      <c r="N46" s="409"/>
      <c r="O46" s="409"/>
      <c r="P46" s="409"/>
      <c r="Q46" s="493"/>
      <c r="S46" s="309">
        <v>1</v>
      </c>
      <c r="T46" s="409"/>
      <c r="U46" s="409"/>
      <c r="V46" s="409"/>
      <c r="W46" s="493"/>
      <c r="Y46" s="309">
        <v>1</v>
      </c>
      <c r="Z46" s="409"/>
      <c r="AA46" s="409"/>
      <c r="AB46" s="409"/>
      <c r="AC46" s="493"/>
      <c r="AE46" s="309">
        <v>1</v>
      </c>
      <c r="AF46" s="409"/>
      <c r="AG46" s="409"/>
      <c r="AH46" s="409"/>
      <c r="AI46" s="493"/>
    </row>
    <row r="47" spans="1:64" ht="15" hidden="1" customHeight="1" outlineLevel="1">
      <c r="A47" s="309">
        <v>2</v>
      </c>
      <c r="B47" s="409"/>
      <c r="C47" s="409"/>
      <c r="D47" s="409"/>
      <c r="E47" s="493"/>
      <c r="G47" s="309">
        <v>2</v>
      </c>
      <c r="H47" s="409"/>
      <c r="I47" s="409"/>
      <c r="J47" s="409"/>
      <c r="K47" s="493"/>
      <c r="M47" s="309">
        <v>2</v>
      </c>
      <c r="N47" s="409"/>
      <c r="O47" s="409"/>
      <c r="P47" s="409"/>
      <c r="Q47" s="493"/>
      <c r="S47" s="309">
        <v>2</v>
      </c>
      <c r="T47" s="409"/>
      <c r="U47" s="409"/>
      <c r="V47" s="409"/>
      <c r="W47" s="493"/>
      <c r="Y47" s="309">
        <v>2</v>
      </c>
      <c r="Z47" s="409"/>
      <c r="AA47" s="409"/>
      <c r="AB47" s="409"/>
      <c r="AC47" s="493"/>
      <c r="AE47" s="309">
        <v>2</v>
      </c>
      <c r="AF47" s="409"/>
      <c r="AG47" s="409"/>
      <c r="AH47" s="409"/>
      <c r="AI47" s="493"/>
    </row>
    <row r="48" spans="1:64" ht="15" hidden="1" customHeight="1" outlineLevel="1">
      <c r="A48" s="309">
        <v>3</v>
      </c>
      <c r="B48" s="409"/>
      <c r="C48" s="409"/>
      <c r="D48" s="409"/>
      <c r="E48" s="493"/>
      <c r="G48" s="309">
        <v>3</v>
      </c>
      <c r="H48" s="409"/>
      <c r="I48" s="409"/>
      <c r="J48" s="409"/>
      <c r="K48" s="493"/>
      <c r="M48" s="309">
        <v>3</v>
      </c>
      <c r="N48" s="409"/>
      <c r="O48" s="409"/>
      <c r="P48" s="409"/>
      <c r="Q48" s="493"/>
      <c r="S48" s="309">
        <v>3</v>
      </c>
      <c r="T48" s="409"/>
      <c r="U48" s="409"/>
      <c r="V48" s="409"/>
      <c r="W48" s="493"/>
      <c r="Y48" s="309">
        <v>3</v>
      </c>
      <c r="Z48" s="409"/>
      <c r="AA48" s="409"/>
      <c r="AB48" s="409"/>
      <c r="AC48" s="493"/>
      <c r="AE48" s="309">
        <v>3</v>
      </c>
      <c r="AF48" s="409"/>
      <c r="AG48" s="409"/>
      <c r="AH48" s="409"/>
      <c r="AI48" s="493"/>
    </row>
    <row r="49" spans="1:87" ht="15" hidden="1" customHeight="1" outlineLevel="1">
      <c r="A49" s="309">
        <v>4</v>
      </c>
      <c r="B49" s="409"/>
      <c r="C49" s="409"/>
      <c r="D49" s="409"/>
      <c r="E49" s="493"/>
      <c r="G49" s="309">
        <v>4</v>
      </c>
      <c r="H49" s="409"/>
      <c r="I49" s="409"/>
      <c r="J49" s="409"/>
      <c r="K49" s="493"/>
      <c r="M49" s="309">
        <v>4</v>
      </c>
      <c r="N49" s="409"/>
      <c r="O49" s="409"/>
      <c r="P49" s="409"/>
      <c r="Q49" s="493"/>
      <c r="S49" s="309">
        <v>4</v>
      </c>
      <c r="T49" s="409"/>
      <c r="U49" s="409"/>
      <c r="V49" s="409"/>
      <c r="W49" s="493"/>
      <c r="Y49" s="309">
        <v>4</v>
      </c>
      <c r="Z49" s="409"/>
      <c r="AA49" s="409"/>
      <c r="AB49" s="409"/>
      <c r="AC49" s="493"/>
      <c r="AE49" s="309">
        <v>4</v>
      </c>
      <c r="AF49" s="409"/>
      <c r="AG49" s="409"/>
      <c r="AH49" s="409"/>
      <c r="AI49" s="493"/>
    </row>
    <row r="50" spans="1:87" ht="15" hidden="1" customHeight="1" outlineLevel="1">
      <c r="A50" s="309">
        <v>5</v>
      </c>
      <c r="B50" s="409"/>
      <c r="C50" s="409"/>
      <c r="D50" s="409"/>
      <c r="E50" s="493"/>
      <c r="G50" s="309">
        <v>5</v>
      </c>
      <c r="H50" s="409"/>
      <c r="I50" s="409"/>
      <c r="J50" s="409"/>
      <c r="K50" s="493"/>
      <c r="M50" s="309">
        <v>5</v>
      </c>
      <c r="N50" s="409"/>
      <c r="O50" s="409"/>
      <c r="P50" s="409"/>
      <c r="Q50" s="493"/>
      <c r="S50" s="309">
        <v>5</v>
      </c>
      <c r="T50" s="409"/>
      <c r="U50" s="409"/>
      <c r="V50" s="409"/>
      <c r="W50" s="493"/>
      <c r="Y50" s="309">
        <v>5</v>
      </c>
      <c r="Z50" s="409"/>
      <c r="AA50" s="409"/>
      <c r="AB50" s="409"/>
      <c r="AC50" s="493"/>
      <c r="AE50" s="309">
        <v>5</v>
      </c>
      <c r="AF50" s="409"/>
      <c r="AG50" s="409"/>
      <c r="AH50" s="409"/>
      <c r="AI50" s="493"/>
    </row>
    <row r="51" spans="1:87" ht="15" customHeight="1" collapsed="1">
      <c r="A51" s="481" t="s">
        <v>502</v>
      </c>
      <c r="B51" s="358"/>
      <c r="C51" s="358"/>
      <c r="D51" s="513">
        <f>SUBTOTAL(9,D46:D50)</f>
        <v>0</v>
      </c>
      <c r="E51" s="482">
        <f>SUBTOTAL(9,E46:E50)</f>
        <v>0</v>
      </c>
      <c r="G51" s="481" t="s">
        <v>502</v>
      </c>
      <c r="H51" s="358"/>
      <c r="I51" s="358"/>
      <c r="J51" s="513">
        <f>SUBTOTAL(9,J46:J50)</f>
        <v>0</v>
      </c>
      <c r="K51" s="482">
        <f>SUBTOTAL(9,K46:K50)</f>
        <v>0</v>
      </c>
      <c r="M51" s="481" t="s">
        <v>502</v>
      </c>
      <c r="N51" s="358"/>
      <c r="O51" s="358"/>
      <c r="P51" s="513">
        <f>SUBTOTAL(9,P46:P50)</f>
        <v>0</v>
      </c>
      <c r="Q51" s="482">
        <f>SUBTOTAL(9,Q46:Q50)</f>
        <v>0</v>
      </c>
      <c r="S51" s="481" t="s">
        <v>502</v>
      </c>
      <c r="T51" s="358"/>
      <c r="U51" s="358"/>
      <c r="V51" s="513">
        <f>SUBTOTAL(9,V46:V50)</f>
        <v>0</v>
      </c>
      <c r="W51" s="482">
        <f>SUBTOTAL(9,W46:W50)</f>
        <v>0</v>
      </c>
      <c r="Y51" s="481" t="s">
        <v>502</v>
      </c>
      <c r="Z51" s="358"/>
      <c r="AA51" s="358"/>
      <c r="AB51" s="513">
        <f>SUBTOTAL(9,AB46:AB50)</f>
        <v>0</v>
      </c>
      <c r="AC51" s="482">
        <f>SUBTOTAL(9,AC46:AC50)</f>
        <v>0</v>
      </c>
      <c r="AE51" s="481" t="s">
        <v>502</v>
      </c>
      <c r="AF51" s="358"/>
      <c r="AG51" s="358"/>
      <c r="AH51" s="513">
        <f>SUBTOTAL(9,AH46:AH50)</f>
        <v>0</v>
      </c>
      <c r="AI51" s="482">
        <f>SUBTOTAL(9,AI46:AI50)</f>
        <v>0</v>
      </c>
    </row>
    <row r="52" spans="1:87" ht="15" customHeight="1">
      <c r="A52" s="488"/>
      <c r="B52" s="309"/>
      <c r="C52" s="309"/>
      <c r="D52" s="309"/>
      <c r="E52" s="304"/>
      <c r="G52" s="488"/>
      <c r="H52" s="309"/>
      <c r="I52" s="309"/>
      <c r="J52" s="309"/>
      <c r="K52" s="304"/>
      <c r="M52" s="488"/>
      <c r="N52" s="309"/>
      <c r="O52" s="309"/>
      <c r="P52" s="309"/>
      <c r="Q52" s="304"/>
      <c r="S52" s="488"/>
      <c r="T52" s="309"/>
      <c r="U52" s="309"/>
      <c r="V52" s="309"/>
      <c r="W52" s="304"/>
      <c r="Y52" s="488"/>
      <c r="Z52" s="309"/>
      <c r="AA52" s="309"/>
      <c r="AB52" s="309"/>
      <c r="AC52" s="304"/>
      <c r="AE52" s="488"/>
      <c r="AF52" s="309"/>
      <c r="AG52" s="309"/>
      <c r="AH52" s="309"/>
      <c r="AI52" s="304"/>
    </row>
    <row r="53" spans="1:87" ht="15" customHeight="1">
      <c r="A53" s="313" t="s">
        <v>503</v>
      </c>
      <c r="B53" s="313"/>
      <c r="C53" s="313">
        <f>SUBTOTAL(9,C26:C52)</f>
        <v>0</v>
      </c>
      <c r="D53" s="510">
        <f>SUBTOTAL(9,D28:D52)</f>
        <v>0</v>
      </c>
      <c r="E53" s="462">
        <f>SUBTOTAL(9,E28:E52)</f>
        <v>0</v>
      </c>
      <c r="G53" s="313" t="s">
        <v>503</v>
      </c>
      <c r="H53" s="313"/>
      <c r="I53" s="313">
        <f>SUBTOTAL(9,I26:I52)</f>
        <v>0</v>
      </c>
      <c r="J53" s="510">
        <f>SUBTOTAL(9,J28:J52)</f>
        <v>0</v>
      </c>
      <c r="K53" s="462">
        <f>SUBTOTAL(9,K28:K52)</f>
        <v>0</v>
      </c>
      <c r="M53" s="313" t="s">
        <v>503</v>
      </c>
      <c r="N53" s="313"/>
      <c r="O53" s="313">
        <f>SUBTOTAL(9,O26:O52)</f>
        <v>0</v>
      </c>
      <c r="P53" s="510">
        <f>SUBTOTAL(9,P28:P52)</f>
        <v>0</v>
      </c>
      <c r="Q53" s="462">
        <f>SUBTOTAL(9,Q28:Q52)</f>
        <v>0</v>
      </c>
      <c r="S53" s="313" t="s">
        <v>503</v>
      </c>
      <c r="T53" s="313"/>
      <c r="U53" s="313">
        <f>SUBTOTAL(9,U26:U52)</f>
        <v>0</v>
      </c>
      <c r="V53" s="510">
        <f>SUBTOTAL(9,V28:V52)</f>
        <v>0</v>
      </c>
      <c r="W53" s="462">
        <f>SUBTOTAL(9,W28:W52)</f>
        <v>0</v>
      </c>
      <c r="Y53" s="313" t="s">
        <v>503</v>
      </c>
      <c r="Z53" s="313"/>
      <c r="AA53" s="313">
        <f>SUBTOTAL(9,AA26:AA52)</f>
        <v>0</v>
      </c>
      <c r="AB53" s="510">
        <f>SUBTOTAL(9,AB28:AB52)</f>
        <v>0</v>
      </c>
      <c r="AC53" s="462">
        <f>SUBTOTAL(9,AC28:AC52)</f>
        <v>0</v>
      </c>
      <c r="AE53" s="313" t="s">
        <v>503</v>
      </c>
      <c r="AF53" s="313"/>
      <c r="AG53" s="313">
        <f>SUBTOTAL(9,AG26:AG52)</f>
        <v>0</v>
      </c>
      <c r="AH53" s="510">
        <f>SUBTOTAL(9,AH28:AH52)</f>
        <v>0</v>
      </c>
      <c r="AI53" s="462">
        <f>SUBTOTAL(9,AI28:AI52)</f>
        <v>0</v>
      </c>
    </row>
    <row r="54" spans="1:87" ht="15" customHeight="1">
      <c r="A54" s="328"/>
      <c r="B54" s="328"/>
      <c r="C54" s="328"/>
      <c r="D54" s="328"/>
      <c r="E54" s="307"/>
      <c r="G54" s="328"/>
      <c r="H54" s="328"/>
      <c r="I54" s="328"/>
      <c r="J54" s="328"/>
      <c r="K54" s="307"/>
      <c r="M54" s="328"/>
      <c r="N54" s="328"/>
      <c r="O54" s="328"/>
      <c r="P54" s="328"/>
      <c r="Q54" s="307"/>
      <c r="S54" s="328"/>
      <c r="T54" s="328"/>
      <c r="U54" s="328"/>
      <c r="V54" s="328"/>
      <c r="W54" s="307"/>
      <c r="Y54" s="328"/>
      <c r="Z54" s="328"/>
      <c r="AA54" s="328"/>
      <c r="AB54" s="328"/>
      <c r="AC54" s="307"/>
      <c r="AE54" s="328"/>
      <c r="AF54" s="328"/>
      <c r="AG54" s="328"/>
      <c r="AH54" s="328"/>
      <c r="AI54" s="307"/>
    </row>
    <row r="55" spans="1:87">
      <c r="A55" s="489" t="s">
        <v>97</v>
      </c>
      <c r="B55" s="490"/>
      <c r="C55" s="491">
        <f>SUBTOTAL(9,C4:C54)</f>
        <v>0</v>
      </c>
      <c r="D55" s="514">
        <f>SUBTOTAL(9,D4:D54)</f>
        <v>0</v>
      </c>
      <c r="E55" s="491">
        <f>SUBTOTAL(9,E4:E54)</f>
        <v>0</v>
      </c>
      <c r="G55" s="489" t="s">
        <v>97</v>
      </c>
      <c r="H55" s="490"/>
      <c r="I55" s="491">
        <f>SUBTOTAL(9,I4:I54)</f>
        <v>0</v>
      </c>
      <c r="J55" s="514">
        <f>SUBTOTAL(9,J4:J54)</f>
        <v>0</v>
      </c>
      <c r="K55" s="491">
        <f>SUBTOTAL(9,K4:K54)</f>
        <v>0</v>
      </c>
      <c r="M55" s="489" t="s">
        <v>97</v>
      </c>
      <c r="N55" s="490"/>
      <c r="O55" s="491">
        <f>SUBTOTAL(9,O4:O54)</f>
        <v>0</v>
      </c>
      <c r="P55" s="514">
        <f>SUBTOTAL(9,P4:P54)</f>
        <v>0</v>
      </c>
      <c r="Q55" s="491">
        <f>SUBTOTAL(9,Q4:Q54)</f>
        <v>0</v>
      </c>
      <c r="S55" s="489" t="s">
        <v>97</v>
      </c>
      <c r="T55" s="490"/>
      <c r="U55" s="491">
        <f>SUBTOTAL(9,U4:U54)</f>
        <v>0</v>
      </c>
      <c r="V55" s="514">
        <f>SUBTOTAL(9,V4:V54)</f>
        <v>0</v>
      </c>
      <c r="W55" s="491">
        <f>SUBTOTAL(9,W4:W54)</f>
        <v>0</v>
      </c>
      <c r="Y55" s="489" t="s">
        <v>97</v>
      </c>
      <c r="Z55" s="490"/>
      <c r="AA55" s="491">
        <f>SUBTOTAL(9,AA4:AA54)</f>
        <v>0</v>
      </c>
      <c r="AB55" s="514">
        <f>SUBTOTAL(9,AB4:AB54)</f>
        <v>0</v>
      </c>
      <c r="AC55" s="491">
        <f>SUBTOTAL(9,AC4:AC54)</f>
        <v>0</v>
      </c>
      <c r="AE55" s="489" t="s">
        <v>97</v>
      </c>
      <c r="AF55" s="490"/>
      <c r="AG55" s="491">
        <f>SUBTOTAL(9,AG4:AG54)</f>
        <v>0</v>
      </c>
      <c r="AH55" s="514">
        <f>SUBTOTAL(9,AH4:AH54)</f>
        <v>0</v>
      </c>
      <c r="AI55" s="491">
        <f>SUBTOTAL(9,AI4:AI54)</f>
        <v>0</v>
      </c>
    </row>
    <row r="56" spans="1:87" ht="15.75" customHeight="1">
      <c r="A56" s="292" t="s">
        <v>353</v>
      </c>
      <c r="C56" s="292"/>
      <c r="D56" s="293"/>
      <c r="E56" s="494">
        <f>'Productive Hours'!P36</f>
        <v>0</v>
      </c>
      <c r="G56" s="292" t="s">
        <v>353</v>
      </c>
      <c r="I56" s="292"/>
      <c r="J56" s="293"/>
      <c r="K56" s="494">
        <f>'Project List'!H38</f>
        <v>0</v>
      </c>
      <c r="M56" s="292" t="s">
        <v>353</v>
      </c>
      <c r="O56" s="292"/>
      <c r="P56" s="293"/>
      <c r="Q56" s="494"/>
      <c r="S56" s="292" t="s">
        <v>353</v>
      </c>
      <c r="U56" s="292"/>
      <c r="V56" s="293"/>
      <c r="W56" s="494"/>
      <c r="Y56" s="292" t="s">
        <v>353</v>
      </c>
      <c r="AA56" s="292"/>
      <c r="AB56" s="293"/>
      <c r="AC56" s="494"/>
      <c r="AE56" s="292" t="s">
        <v>353</v>
      </c>
      <c r="AG56" s="292"/>
      <c r="AH56" s="293"/>
      <c r="AI56" s="494"/>
    </row>
    <row r="57" spans="1:87" s="281" customFormat="1">
      <c r="A57" s="474" t="s">
        <v>373</v>
      </c>
      <c r="B57" s="474"/>
      <c r="C57" s="474"/>
      <c r="D57" s="474"/>
      <c r="E57" s="475">
        <f>IFERROR(E55/E56,0)</f>
        <v>0</v>
      </c>
      <c r="F57" s="227"/>
      <c r="G57" s="474" t="s">
        <v>373</v>
      </c>
      <c r="H57" s="474"/>
      <c r="I57" s="474"/>
      <c r="J57" s="474"/>
      <c r="K57" s="475">
        <f>IFERROR(K55/K56,0)</f>
        <v>0</v>
      </c>
      <c r="L57" s="227"/>
      <c r="M57" s="474" t="s">
        <v>373</v>
      </c>
      <c r="N57" s="474"/>
      <c r="O57" s="474"/>
      <c r="P57" s="474"/>
      <c r="Q57" s="475">
        <f>IFERROR(Q55/Q56,0)</f>
        <v>0</v>
      </c>
      <c r="R57" s="12"/>
      <c r="S57" s="474" t="s">
        <v>373</v>
      </c>
      <c r="T57" s="474"/>
      <c r="U57" s="474"/>
      <c r="V57" s="474"/>
      <c r="W57" s="475">
        <f>IFERROR(W55/W56,0)</f>
        <v>0</v>
      </c>
      <c r="X57" s="12"/>
      <c r="Y57" s="474" t="s">
        <v>373</v>
      </c>
      <c r="Z57" s="474"/>
      <c r="AA57" s="474"/>
      <c r="AB57" s="474"/>
      <c r="AC57" s="475">
        <f>IFERROR(AC55/AC56,0)</f>
        <v>0</v>
      </c>
      <c r="AD57" s="12"/>
      <c r="AE57" s="474" t="s">
        <v>373</v>
      </c>
      <c r="AF57" s="474"/>
      <c r="AG57" s="474"/>
      <c r="AH57" s="474"/>
      <c r="AI57" s="475">
        <f>IFERROR(AI55/AI56,0)</f>
        <v>0</v>
      </c>
      <c r="AJ57" s="12"/>
      <c r="AK57" s="509"/>
      <c r="AL57" s="509"/>
      <c r="AM57" s="509"/>
      <c r="AN57" s="509"/>
      <c r="AO57" s="509"/>
      <c r="AP57" s="509"/>
      <c r="AQ57" s="509"/>
      <c r="AR57" s="509"/>
      <c r="AS57" s="509"/>
      <c r="AT57" s="509"/>
      <c r="AU57" s="509"/>
      <c r="AV57" s="509"/>
      <c r="AW57" s="509"/>
      <c r="AX57" s="509"/>
      <c r="AY57" s="509"/>
      <c r="AZ57" s="509"/>
      <c r="BA57" s="509"/>
      <c r="BB57" s="509"/>
      <c r="BC57" s="509"/>
      <c r="BD57" s="509"/>
      <c r="BE57" s="509"/>
      <c r="BF57" s="509"/>
      <c r="BG57" s="509"/>
      <c r="BH57" s="509"/>
      <c r="BI57" s="509"/>
      <c r="BJ57" s="509"/>
      <c r="BK57" s="509"/>
      <c r="BL57" s="509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</row>
    <row r="58" spans="1:87">
      <c r="K58" s="16"/>
      <c r="Q58" s="16"/>
      <c r="W58" s="16"/>
      <c r="AC58" s="16"/>
      <c r="AI58" s="16"/>
    </row>
    <row r="59" spans="1:87">
      <c r="A59" s="12" t="s">
        <v>539</v>
      </c>
      <c r="E59" s="352">
        <f>-C76-D76-E76</f>
        <v>0</v>
      </c>
      <c r="G59" s="12" t="s">
        <v>539</v>
      </c>
      <c r="K59" s="352">
        <f>-I76-J76-K76</f>
        <v>0</v>
      </c>
      <c r="M59" s="12" t="s">
        <v>539</v>
      </c>
      <c r="Q59" s="352">
        <f>-O76-P76-Q76</f>
        <v>0</v>
      </c>
      <c r="S59" s="12" t="s">
        <v>539</v>
      </c>
      <c r="W59" s="352">
        <f>-U76-V76-W76</f>
        <v>0</v>
      </c>
      <c r="Y59" s="12" t="s">
        <v>539</v>
      </c>
      <c r="AC59" s="352">
        <f>-AA76-AB76-AC76</f>
        <v>0</v>
      </c>
      <c r="AE59" s="12" t="s">
        <v>539</v>
      </c>
      <c r="AI59" s="352">
        <f>-AG76-AH76-AI76</f>
        <v>0</v>
      </c>
    </row>
    <row r="60" spans="1:87">
      <c r="E60" s="301"/>
      <c r="K60" s="301"/>
      <c r="Q60" s="301"/>
      <c r="W60" s="301"/>
      <c r="AC60" s="301"/>
      <c r="AI60" s="301"/>
    </row>
    <row r="61" spans="1:87">
      <c r="A61" s="474" t="s">
        <v>413</v>
      </c>
      <c r="B61" s="474"/>
      <c r="C61" s="474"/>
      <c r="D61" s="474"/>
      <c r="E61" s="475">
        <f>IFERROR((E55+E59)/E56,0)</f>
        <v>0</v>
      </c>
      <c r="G61" s="474" t="s">
        <v>413</v>
      </c>
      <c r="H61" s="474"/>
      <c r="I61" s="474"/>
      <c r="J61" s="474"/>
      <c r="K61" s="475">
        <f>IFERROR((K55+K59)/K56,0)</f>
        <v>0</v>
      </c>
      <c r="M61" s="474" t="s">
        <v>413</v>
      </c>
      <c r="N61" s="474"/>
      <c r="O61" s="474"/>
      <c r="P61" s="474"/>
      <c r="Q61" s="475">
        <f>IFERROR((Q55+Q59)/Q56,0)</f>
        <v>0</v>
      </c>
      <c r="S61" s="474" t="s">
        <v>413</v>
      </c>
      <c r="T61" s="474"/>
      <c r="U61" s="474"/>
      <c r="V61" s="474"/>
      <c r="W61" s="475">
        <f>IFERROR((W55+W59)/W56,0)</f>
        <v>0</v>
      </c>
      <c r="Y61" s="474" t="s">
        <v>413</v>
      </c>
      <c r="Z61" s="474"/>
      <c r="AA61" s="474"/>
      <c r="AB61" s="474"/>
      <c r="AC61" s="475">
        <f>IFERROR((AC55+AC59)/AC56,0)</f>
        <v>0</v>
      </c>
      <c r="AE61" s="474" t="s">
        <v>413</v>
      </c>
      <c r="AF61" s="474"/>
      <c r="AG61" s="474"/>
      <c r="AH61" s="474"/>
      <c r="AI61" s="475">
        <f>IFERROR((AI55+AI59)/AI56,0)</f>
        <v>0</v>
      </c>
    </row>
    <row r="62" spans="1:87">
      <c r="K62" s="16"/>
      <c r="Q62" s="16"/>
      <c r="W62" s="16"/>
      <c r="AC62" s="16"/>
      <c r="AI62" s="16"/>
    </row>
    <row r="63" spans="1:87">
      <c r="A63" s="12" t="s">
        <v>416</v>
      </c>
      <c r="D63" s="301"/>
      <c r="G63" s="12" t="s">
        <v>416</v>
      </c>
      <c r="K63" s="301"/>
      <c r="M63" s="12" t="s">
        <v>416</v>
      </c>
      <c r="Q63" s="301"/>
      <c r="S63" s="12" t="s">
        <v>416</v>
      </c>
      <c r="W63" s="301"/>
      <c r="Y63" s="12" t="s">
        <v>416</v>
      </c>
      <c r="AC63" s="301"/>
      <c r="AE63" s="12" t="s">
        <v>416</v>
      </c>
      <c r="AI63" s="301"/>
    </row>
    <row r="64" spans="1:87">
      <c r="D64" s="301"/>
      <c r="J64" s="301"/>
      <c r="K64" s="16"/>
      <c r="P64" s="301"/>
      <c r="Q64" s="16"/>
      <c r="V64" s="301"/>
      <c r="W64" s="16"/>
      <c r="AB64" s="301"/>
      <c r="AC64" s="16"/>
      <c r="AH64" s="301"/>
      <c r="AI64" s="16"/>
    </row>
    <row r="65" spans="1:35">
      <c r="B65" s="313" t="s">
        <v>417</v>
      </c>
      <c r="C65" s="314" t="s">
        <v>348</v>
      </c>
      <c r="D65" s="314" t="s">
        <v>418</v>
      </c>
      <c r="E65" s="315" t="s">
        <v>407</v>
      </c>
      <c r="H65" s="313" t="s">
        <v>417</v>
      </c>
      <c r="I65" s="314" t="s">
        <v>348</v>
      </c>
      <c r="J65" s="314" t="s">
        <v>418</v>
      </c>
      <c r="K65" s="315" t="s">
        <v>407</v>
      </c>
      <c r="N65" s="313" t="s">
        <v>417</v>
      </c>
      <c r="O65" s="314" t="s">
        <v>348</v>
      </c>
      <c r="P65" s="314" t="s">
        <v>418</v>
      </c>
      <c r="Q65" s="315" t="s">
        <v>407</v>
      </c>
      <c r="T65" s="313" t="s">
        <v>417</v>
      </c>
      <c r="U65" s="314" t="s">
        <v>348</v>
      </c>
      <c r="V65" s="314" t="s">
        <v>418</v>
      </c>
      <c r="W65" s="315" t="s">
        <v>407</v>
      </c>
      <c r="Z65" s="313" t="s">
        <v>417</v>
      </c>
      <c r="AA65" s="314" t="s">
        <v>348</v>
      </c>
      <c r="AB65" s="314" t="s">
        <v>418</v>
      </c>
      <c r="AC65" s="315" t="s">
        <v>407</v>
      </c>
      <c r="AF65" s="313" t="s">
        <v>417</v>
      </c>
      <c r="AG65" s="314" t="s">
        <v>348</v>
      </c>
      <c r="AH65" s="314" t="s">
        <v>418</v>
      </c>
      <c r="AI65" s="315" t="s">
        <v>407</v>
      </c>
    </row>
    <row r="66" spans="1:35">
      <c r="B66" s="309" t="s">
        <v>507</v>
      </c>
      <c r="C66" s="495"/>
      <c r="D66" s="495"/>
      <c r="E66" s="316">
        <f>C66-D66</f>
        <v>0</v>
      </c>
      <c r="H66" s="309" t="str">
        <f>$B$66</f>
        <v>23-24 Recharge Rate</v>
      </c>
      <c r="I66" s="495"/>
      <c r="J66" s="495"/>
      <c r="K66" s="316">
        <f>I66-J66</f>
        <v>0</v>
      </c>
      <c r="N66" s="309" t="str">
        <f>$B$66</f>
        <v>23-24 Recharge Rate</v>
      </c>
      <c r="O66" s="495"/>
      <c r="P66" s="495"/>
      <c r="Q66" s="316">
        <f>O66-P66</f>
        <v>0</v>
      </c>
      <c r="T66" s="309" t="str">
        <f>$B$66</f>
        <v>23-24 Recharge Rate</v>
      </c>
      <c r="U66" s="495"/>
      <c r="V66" s="495"/>
      <c r="W66" s="316">
        <f>U66-V66</f>
        <v>0</v>
      </c>
      <c r="Z66" s="309" t="str">
        <f>$B$66</f>
        <v>23-24 Recharge Rate</v>
      </c>
      <c r="AA66" s="495"/>
      <c r="AB66" s="495"/>
      <c r="AC66" s="316">
        <f>AA66-AB66</f>
        <v>0</v>
      </c>
      <c r="AF66" s="309" t="str">
        <f>$B$66</f>
        <v>23-24 Recharge Rate</v>
      </c>
      <c r="AG66" s="495"/>
      <c r="AH66" s="495"/>
      <c r="AI66" s="316">
        <f>AG66-AH66</f>
        <v>0</v>
      </c>
    </row>
    <row r="67" spans="1:35">
      <c r="A67" s="300"/>
      <c r="B67" s="309" t="s">
        <v>537</v>
      </c>
      <c r="C67" s="515">
        <f>E61</f>
        <v>0</v>
      </c>
      <c r="D67" s="496"/>
      <c r="E67" s="316">
        <f>C67-D67</f>
        <v>0</v>
      </c>
      <c r="G67" s="300"/>
      <c r="H67" s="309" t="str">
        <f>$B$67</f>
        <v>24-25 Recharge Rate</v>
      </c>
      <c r="I67" s="515">
        <f>K61</f>
        <v>0</v>
      </c>
      <c r="J67" s="496"/>
      <c r="K67" s="316">
        <f>I67-J67</f>
        <v>0</v>
      </c>
      <c r="M67" s="300"/>
      <c r="N67" s="309" t="str">
        <f>$B$67</f>
        <v>24-25 Recharge Rate</v>
      </c>
      <c r="O67" s="515">
        <f>Q61</f>
        <v>0</v>
      </c>
      <c r="P67" s="496"/>
      <c r="Q67" s="316">
        <f>O67-P67</f>
        <v>0</v>
      </c>
      <c r="S67" s="300"/>
      <c r="T67" s="309" t="str">
        <f>$B$67</f>
        <v>24-25 Recharge Rate</v>
      </c>
      <c r="U67" s="515">
        <f>W61</f>
        <v>0</v>
      </c>
      <c r="V67" s="496"/>
      <c r="W67" s="316">
        <f>U67-V67</f>
        <v>0</v>
      </c>
      <c r="Y67" s="300"/>
      <c r="Z67" s="309" t="str">
        <f>$B$67</f>
        <v>24-25 Recharge Rate</v>
      </c>
      <c r="AA67" s="515">
        <f>AC61</f>
        <v>0</v>
      </c>
      <c r="AB67" s="496"/>
      <c r="AC67" s="316">
        <f>AA67-AB67</f>
        <v>0</v>
      </c>
      <c r="AE67" s="300"/>
      <c r="AF67" s="309" t="str">
        <f>$B$67</f>
        <v>24-25 Recharge Rate</v>
      </c>
      <c r="AG67" s="515">
        <f>AI61</f>
        <v>0</v>
      </c>
      <c r="AH67" s="496"/>
      <c r="AI67" s="316">
        <f>AG67-AH67</f>
        <v>0</v>
      </c>
    </row>
    <row r="68" spans="1:35">
      <c r="B68" s="323" t="s">
        <v>419</v>
      </c>
      <c r="C68" s="314" t="s">
        <v>504</v>
      </c>
      <c r="D68" s="314" t="s">
        <v>538</v>
      </c>
      <c r="E68" s="476" t="s">
        <v>420</v>
      </c>
      <c r="H68" s="323" t="s">
        <v>419</v>
      </c>
      <c r="I68" s="314" t="str">
        <f>C68</f>
        <v>23-24</v>
      </c>
      <c r="J68" s="314" t="str">
        <f>D68</f>
        <v>24-25</v>
      </c>
      <c r="K68" s="476" t="s">
        <v>420</v>
      </c>
      <c r="N68" s="323" t="s">
        <v>419</v>
      </c>
      <c r="O68" s="314" t="str">
        <f>C68</f>
        <v>23-24</v>
      </c>
      <c r="P68" s="314" t="str">
        <f>D68</f>
        <v>24-25</v>
      </c>
      <c r="Q68" s="476" t="s">
        <v>420</v>
      </c>
      <c r="T68" s="323" t="s">
        <v>419</v>
      </c>
      <c r="U68" s="314" t="str">
        <f>C68</f>
        <v>23-24</v>
      </c>
      <c r="V68" s="314" t="str">
        <f>D68</f>
        <v>24-25</v>
      </c>
      <c r="W68" s="476" t="s">
        <v>420</v>
      </c>
      <c r="Z68" s="323" t="s">
        <v>419</v>
      </c>
      <c r="AA68" s="314" t="str">
        <f>C68</f>
        <v>23-24</v>
      </c>
      <c r="AB68" s="314" t="str">
        <f>D68</f>
        <v>24-25</v>
      </c>
      <c r="AC68" s="476" t="s">
        <v>420</v>
      </c>
      <c r="AF68" s="323" t="s">
        <v>419</v>
      </c>
      <c r="AG68" s="314" t="str">
        <f>C68</f>
        <v>23-24</v>
      </c>
      <c r="AH68" s="314" t="str">
        <f>D68</f>
        <v>24-25</v>
      </c>
      <c r="AI68" s="476" t="s">
        <v>420</v>
      </c>
    </row>
    <row r="69" spans="1:35">
      <c r="B69" s="317" t="s">
        <v>1</v>
      </c>
      <c r="C69" s="497"/>
      <c r="D69" s="318">
        <f>D55</f>
        <v>0</v>
      </c>
      <c r="E69" s="319">
        <f>D69-C69</f>
        <v>0</v>
      </c>
      <c r="H69" s="317" t="s">
        <v>1</v>
      </c>
      <c r="I69" s="497"/>
      <c r="J69" s="318">
        <f>J55</f>
        <v>0</v>
      </c>
      <c r="K69" s="319">
        <f>J69-I69</f>
        <v>0</v>
      </c>
      <c r="N69" s="317" t="s">
        <v>1</v>
      </c>
      <c r="O69" s="497"/>
      <c r="P69" s="318">
        <f>P55</f>
        <v>0</v>
      </c>
      <c r="Q69" s="319">
        <f>P69-O69</f>
        <v>0</v>
      </c>
      <c r="T69" s="317" t="s">
        <v>1</v>
      </c>
      <c r="U69" s="497"/>
      <c r="V69" s="318">
        <f>V55</f>
        <v>0</v>
      </c>
      <c r="W69" s="319">
        <f>V69-U69</f>
        <v>0</v>
      </c>
      <c r="Z69" s="317" t="s">
        <v>1</v>
      </c>
      <c r="AA69" s="497"/>
      <c r="AB69" s="318">
        <f>AB55</f>
        <v>0</v>
      </c>
      <c r="AC69" s="319">
        <f>AB69-AA69</f>
        <v>0</v>
      </c>
      <c r="AF69" s="317" t="s">
        <v>1</v>
      </c>
      <c r="AG69" s="497"/>
      <c r="AH69" s="318">
        <f>AH55</f>
        <v>0</v>
      </c>
      <c r="AI69" s="319">
        <f>AH69-AG69</f>
        <v>0</v>
      </c>
    </row>
    <row r="70" spans="1:35">
      <c r="B70" s="317" t="s">
        <v>55</v>
      </c>
      <c r="C70" s="498"/>
      <c r="D70" s="320">
        <f>E24</f>
        <v>0</v>
      </c>
      <c r="E70" s="321">
        <f>D70-C70</f>
        <v>0</v>
      </c>
      <c r="H70" s="317" t="s">
        <v>55</v>
      </c>
      <c r="I70" s="498"/>
      <c r="J70" s="320">
        <f>K24</f>
        <v>0</v>
      </c>
      <c r="K70" s="321">
        <f>J70-I70</f>
        <v>0</v>
      </c>
      <c r="N70" s="317" t="s">
        <v>55</v>
      </c>
      <c r="O70" s="498"/>
      <c r="P70" s="320">
        <f>Q24</f>
        <v>0</v>
      </c>
      <c r="Q70" s="321">
        <f>P70-O70</f>
        <v>0</v>
      </c>
      <c r="T70" s="317" t="s">
        <v>55</v>
      </c>
      <c r="U70" s="498"/>
      <c r="V70" s="320">
        <f>W24</f>
        <v>0</v>
      </c>
      <c r="W70" s="321">
        <f>V70-U70</f>
        <v>0</v>
      </c>
      <c r="Z70" s="317" t="s">
        <v>55</v>
      </c>
      <c r="AA70" s="498"/>
      <c r="AB70" s="320">
        <f>AC24</f>
        <v>0</v>
      </c>
      <c r="AC70" s="321">
        <f>AB70-AA70</f>
        <v>0</v>
      </c>
      <c r="AF70" s="317" t="s">
        <v>55</v>
      </c>
      <c r="AG70" s="498"/>
      <c r="AH70" s="320">
        <f>AI24</f>
        <v>0</v>
      </c>
      <c r="AI70" s="321">
        <f>AH70-AG70</f>
        <v>0</v>
      </c>
    </row>
    <row r="71" spans="1:35">
      <c r="B71" s="317" t="s">
        <v>450</v>
      </c>
      <c r="C71" s="498"/>
      <c r="D71" s="320">
        <f>E53</f>
        <v>0</v>
      </c>
      <c r="E71" s="321">
        <f t="shared" ref="E71" si="10">D71-C71</f>
        <v>0</v>
      </c>
      <c r="H71" s="317" t="s">
        <v>450</v>
      </c>
      <c r="I71" s="498"/>
      <c r="J71" s="320">
        <f>K53</f>
        <v>0</v>
      </c>
      <c r="K71" s="321">
        <f t="shared" ref="K71" si="11">J71-I71</f>
        <v>0</v>
      </c>
      <c r="N71" s="317" t="s">
        <v>450</v>
      </c>
      <c r="O71" s="498"/>
      <c r="P71" s="320">
        <f>Q53</f>
        <v>0</v>
      </c>
      <c r="Q71" s="321">
        <f t="shared" ref="Q71" si="12">P71-O71</f>
        <v>0</v>
      </c>
      <c r="T71" s="317" t="s">
        <v>450</v>
      </c>
      <c r="U71" s="498"/>
      <c r="V71" s="320">
        <f>W53</f>
        <v>0</v>
      </c>
      <c r="W71" s="321">
        <f t="shared" ref="W71" si="13">V71-U71</f>
        <v>0</v>
      </c>
      <c r="Z71" s="317" t="s">
        <v>450</v>
      </c>
      <c r="AA71" s="498"/>
      <c r="AB71" s="320">
        <f>AC53</f>
        <v>0</v>
      </c>
      <c r="AC71" s="321">
        <f t="shared" ref="AC71" si="14">AB71-AA71</f>
        <v>0</v>
      </c>
      <c r="AF71" s="317" t="s">
        <v>450</v>
      </c>
      <c r="AG71" s="498"/>
      <c r="AH71" s="320">
        <f>AI53</f>
        <v>0</v>
      </c>
      <c r="AI71" s="321">
        <f t="shared" ref="AI71" si="15">AH71-AG71</f>
        <v>0</v>
      </c>
    </row>
    <row r="72" spans="1:35">
      <c r="B72" s="322" t="s">
        <v>97</v>
      </c>
      <c r="C72" s="321">
        <f>SUM(C70:C71)</f>
        <v>0</v>
      </c>
      <c r="D72" s="321">
        <f t="shared" ref="D72" si="16">SUM(D70:D71)</f>
        <v>0</v>
      </c>
      <c r="E72" s="321">
        <f>SUM(E70:E71)</f>
        <v>0</v>
      </c>
      <c r="H72" s="322" t="s">
        <v>97</v>
      </c>
      <c r="I72" s="321">
        <f>SUM(I70:I71)</f>
        <v>0</v>
      </c>
      <c r="J72" s="321">
        <f t="shared" ref="J72" si="17">SUM(J70:J71)</f>
        <v>0</v>
      </c>
      <c r="K72" s="321">
        <f>SUM(K70:K71)</f>
        <v>0</v>
      </c>
      <c r="N72" s="322" t="s">
        <v>97</v>
      </c>
      <c r="O72" s="321">
        <f>SUM(O70:O71)</f>
        <v>0</v>
      </c>
      <c r="P72" s="321">
        <f t="shared" ref="P72" si="18">SUM(P70:P71)</f>
        <v>0</v>
      </c>
      <c r="Q72" s="321">
        <f>SUM(Q70:Q71)</f>
        <v>0</v>
      </c>
      <c r="T72" s="322" t="s">
        <v>97</v>
      </c>
      <c r="U72" s="321">
        <f>SUM(U70:U71)</f>
        <v>0</v>
      </c>
      <c r="V72" s="321">
        <f t="shared" ref="V72" si="19">SUM(V70:V71)</f>
        <v>0</v>
      </c>
      <c r="W72" s="321">
        <f>SUM(W70:W71)</f>
        <v>0</v>
      </c>
      <c r="Z72" s="322" t="s">
        <v>97</v>
      </c>
      <c r="AA72" s="321">
        <f>SUM(AA70:AA71)</f>
        <v>0</v>
      </c>
      <c r="AB72" s="321">
        <f t="shared" ref="AB72" si="20">SUM(AB70:AB71)</f>
        <v>0</v>
      </c>
      <c r="AC72" s="321">
        <f>SUM(AC70:AC71)</f>
        <v>0</v>
      </c>
      <c r="AF72" s="322" t="s">
        <v>97</v>
      </c>
      <c r="AG72" s="321">
        <f>SUM(AG70:AG71)</f>
        <v>0</v>
      </c>
      <c r="AH72" s="321">
        <f t="shared" ref="AH72" si="21">SUM(AH70:AH71)</f>
        <v>0</v>
      </c>
      <c r="AI72" s="321">
        <f>SUM(AI70:AI71)</f>
        <v>0</v>
      </c>
    </row>
    <row r="73" spans="1:35">
      <c r="B73" s="323" t="s">
        <v>421</v>
      </c>
      <c r="C73" s="314" t="s">
        <v>426</v>
      </c>
      <c r="D73" s="516"/>
      <c r="E73" s="516"/>
      <c r="H73" s="323" t="s">
        <v>421</v>
      </c>
      <c r="I73" s="314" t="str">
        <f>C73</f>
        <v>22-23</v>
      </c>
      <c r="J73" s="324"/>
      <c r="K73" s="324"/>
      <c r="N73" s="323" t="s">
        <v>421</v>
      </c>
      <c r="O73" s="314" t="str">
        <f>I73</f>
        <v>22-23</v>
      </c>
      <c r="P73" s="324"/>
      <c r="Q73" s="324"/>
      <c r="T73" s="323" t="s">
        <v>421</v>
      </c>
      <c r="U73" s="314" t="str">
        <f>O73</f>
        <v>22-23</v>
      </c>
      <c r="V73" s="324"/>
      <c r="W73" s="324"/>
      <c r="Z73" s="323" t="s">
        <v>421</v>
      </c>
      <c r="AA73" s="314" t="str">
        <f>U73</f>
        <v>22-23</v>
      </c>
      <c r="AB73" s="324"/>
      <c r="AC73" s="324"/>
      <c r="AF73" s="323" t="s">
        <v>421</v>
      </c>
      <c r="AG73" s="314" t="str">
        <f>AA73</f>
        <v>22-23</v>
      </c>
      <c r="AH73" s="324"/>
      <c r="AI73" s="324"/>
    </row>
    <row r="74" spans="1:35">
      <c r="B74" s="322" t="s">
        <v>506</v>
      </c>
      <c r="C74" s="518">
        <f>'Budget to Actual 23-24'!B29</f>
        <v>0</v>
      </c>
      <c r="D74" s="498"/>
      <c r="E74" s="498"/>
      <c r="H74" s="322" t="s">
        <v>422</v>
      </c>
      <c r="I74" s="520">
        <f>'Budget to Actual 23-24'!C29</f>
        <v>0</v>
      </c>
      <c r="J74" s="498"/>
      <c r="K74" s="498"/>
      <c r="N74" s="322" t="s">
        <v>422</v>
      </c>
      <c r="O74" s="520">
        <f>'Budget to Actual 23-24'!D29</f>
        <v>0</v>
      </c>
      <c r="P74" s="498"/>
      <c r="Q74" s="498"/>
      <c r="T74" s="322" t="s">
        <v>422</v>
      </c>
      <c r="U74" s="520">
        <f>'Budget to Actual 23-24'!E29</f>
        <v>0</v>
      </c>
      <c r="V74" s="498"/>
      <c r="W74" s="498"/>
      <c r="Z74" s="322" t="s">
        <v>422</v>
      </c>
      <c r="AA74" s="520">
        <f>'Budget to Actual 23-24'!F29</f>
        <v>0</v>
      </c>
      <c r="AB74" s="498"/>
      <c r="AC74" s="498"/>
      <c r="AF74" s="322" t="s">
        <v>422</v>
      </c>
      <c r="AG74" s="520">
        <f>'Budget to Actual 23-24'!G29</f>
        <v>0</v>
      </c>
      <c r="AH74" s="498"/>
      <c r="AI74" s="498"/>
    </row>
    <row r="75" spans="1:35">
      <c r="B75" s="322" t="s">
        <v>423</v>
      </c>
      <c r="C75" s="519">
        <v>1</v>
      </c>
      <c r="D75" s="521"/>
      <c r="E75" s="521"/>
      <c r="H75" s="322" t="s">
        <v>423</v>
      </c>
      <c r="I75" s="519">
        <v>1</v>
      </c>
      <c r="J75" s="521"/>
      <c r="K75" s="521"/>
      <c r="N75" s="322" t="s">
        <v>423</v>
      </c>
      <c r="O75" s="519">
        <v>1</v>
      </c>
      <c r="P75" s="521"/>
      <c r="Q75" s="521"/>
      <c r="T75" s="322" t="s">
        <v>423</v>
      </c>
      <c r="U75" s="519">
        <v>1</v>
      </c>
      <c r="V75" s="521"/>
      <c r="W75" s="521"/>
      <c r="Z75" s="322" t="s">
        <v>423</v>
      </c>
      <c r="AA75" s="519">
        <v>1</v>
      </c>
      <c r="AB75" s="521"/>
      <c r="AC75" s="521"/>
      <c r="AF75" s="322" t="s">
        <v>423</v>
      </c>
      <c r="AG75" s="519">
        <v>1</v>
      </c>
      <c r="AH75" s="521"/>
      <c r="AI75" s="521"/>
    </row>
    <row r="76" spans="1:35">
      <c r="B76" s="322" t="s">
        <v>424</v>
      </c>
      <c r="C76" s="517">
        <f>C74*C75</f>
        <v>0</v>
      </c>
      <c r="D76" s="517">
        <f t="shared" ref="D76:E76" si="22">D74*D75</f>
        <v>0</v>
      </c>
      <c r="E76" s="517">
        <f t="shared" si="22"/>
        <v>0</v>
      </c>
      <c r="H76" s="322" t="s">
        <v>424</v>
      </c>
      <c r="I76" s="478">
        <f>I74*I75</f>
        <v>0</v>
      </c>
      <c r="J76" s="478">
        <f t="shared" ref="J76:K76" si="23">J74*J75</f>
        <v>0</v>
      </c>
      <c r="K76" s="478">
        <f t="shared" si="23"/>
        <v>0</v>
      </c>
      <c r="N76" s="322" t="s">
        <v>424</v>
      </c>
      <c r="O76" s="520">
        <f>O74*O75</f>
        <v>0</v>
      </c>
      <c r="P76" s="520">
        <f>P74*P75</f>
        <v>0</v>
      </c>
      <c r="Q76" s="520">
        <f>Q74*Q75</f>
        <v>0</v>
      </c>
      <c r="T76" s="322" t="s">
        <v>424</v>
      </c>
      <c r="U76" s="520">
        <f>U74*U75</f>
        <v>0</v>
      </c>
      <c r="V76" s="520">
        <f>V74*V75</f>
        <v>0</v>
      </c>
      <c r="W76" s="520">
        <f>W74*W75</f>
        <v>0</v>
      </c>
      <c r="Z76" s="322" t="s">
        <v>424</v>
      </c>
      <c r="AA76" s="520">
        <f>AA74*AA75</f>
        <v>0</v>
      </c>
      <c r="AB76" s="520">
        <f t="shared" ref="AB76:AC76" si="24">AB74*AB75</f>
        <v>0</v>
      </c>
      <c r="AC76" s="520">
        <f t="shared" si="24"/>
        <v>0</v>
      </c>
      <c r="AF76" s="322" t="s">
        <v>424</v>
      </c>
      <c r="AG76" s="520">
        <f>AG74*AG75</f>
        <v>0</v>
      </c>
      <c r="AH76" s="520">
        <f t="shared" ref="AH76:AI76" si="25">AH74*AH75</f>
        <v>0</v>
      </c>
      <c r="AI76" s="520">
        <f t="shared" si="25"/>
        <v>0</v>
      </c>
    </row>
    <row r="77" spans="1:35">
      <c r="B77" s="325"/>
      <c r="C77" s="301"/>
      <c r="H77" s="325"/>
      <c r="I77" s="301"/>
      <c r="K77" s="16"/>
      <c r="N77" s="325"/>
      <c r="O77" s="301"/>
      <c r="Q77" s="16"/>
      <c r="T77" s="325"/>
      <c r="U77" s="301"/>
      <c r="W77" s="16"/>
      <c r="Z77" s="325"/>
      <c r="AA77" s="301"/>
      <c r="AC77" s="16"/>
      <c r="AF77" s="325"/>
      <c r="AG77" s="301"/>
      <c r="AI77" s="16"/>
    </row>
    <row r="78" spans="1:35">
      <c r="B78" s="326" t="s">
        <v>505</v>
      </c>
      <c r="C78" s="190"/>
      <c r="D78" s="190"/>
      <c r="E78" s="327"/>
      <c r="H78" s="326" t="s">
        <v>505</v>
      </c>
      <c r="I78" s="190"/>
      <c r="J78" s="190"/>
      <c r="K78" s="327"/>
      <c r="N78" s="326" t="s">
        <v>505</v>
      </c>
      <c r="O78" s="190"/>
      <c r="P78" s="190"/>
      <c r="Q78" s="327"/>
      <c r="T78" s="326" t="s">
        <v>505</v>
      </c>
      <c r="U78" s="190"/>
      <c r="V78" s="190"/>
      <c r="W78" s="327"/>
      <c r="Z78" s="326" t="s">
        <v>505</v>
      </c>
      <c r="AA78" s="190"/>
      <c r="AB78" s="190"/>
      <c r="AC78" s="327"/>
      <c r="AF78" s="326" t="s">
        <v>505</v>
      </c>
      <c r="AG78" s="190"/>
      <c r="AH78" s="190"/>
      <c r="AI78" s="327"/>
    </row>
    <row r="79" spans="1:35">
      <c r="B79" s="646"/>
      <c r="C79" s="646"/>
      <c r="D79" s="646"/>
      <c r="E79" s="646"/>
      <c r="H79" s="646"/>
      <c r="I79" s="646"/>
      <c r="J79" s="646"/>
      <c r="K79" s="646"/>
      <c r="N79" s="646"/>
      <c r="O79" s="646"/>
      <c r="P79" s="646"/>
      <c r="Q79" s="646"/>
      <c r="T79" s="646"/>
      <c r="U79" s="646"/>
      <c r="V79" s="646"/>
      <c r="W79" s="646"/>
      <c r="Z79" s="646"/>
      <c r="AA79" s="646"/>
      <c r="AB79" s="646"/>
      <c r="AC79" s="646"/>
      <c r="AF79" s="646"/>
      <c r="AG79" s="646"/>
      <c r="AH79" s="646"/>
      <c r="AI79" s="646"/>
    </row>
    <row r="80" spans="1:35">
      <c r="B80" s="646"/>
      <c r="C80" s="646"/>
      <c r="D80" s="646"/>
      <c r="E80" s="646"/>
      <c r="H80" s="646"/>
      <c r="I80" s="646"/>
      <c r="J80" s="646"/>
      <c r="K80" s="646"/>
      <c r="N80" s="646"/>
      <c r="O80" s="646"/>
      <c r="P80" s="646"/>
      <c r="Q80" s="646"/>
      <c r="T80" s="646"/>
      <c r="U80" s="646"/>
      <c r="V80" s="646"/>
      <c r="W80" s="646"/>
      <c r="Z80" s="646"/>
      <c r="AA80" s="646"/>
      <c r="AB80" s="646"/>
      <c r="AC80" s="646"/>
      <c r="AF80" s="646"/>
      <c r="AG80" s="646"/>
      <c r="AH80" s="646"/>
      <c r="AI80" s="646"/>
    </row>
    <row r="81" spans="2:35">
      <c r="B81" s="646"/>
      <c r="C81" s="646"/>
      <c r="D81" s="646"/>
      <c r="E81" s="646"/>
      <c r="H81" s="646"/>
      <c r="I81" s="646"/>
      <c r="J81" s="646"/>
      <c r="K81" s="646"/>
      <c r="N81" s="646"/>
      <c r="O81" s="646"/>
      <c r="P81" s="646"/>
      <c r="Q81" s="646"/>
      <c r="T81" s="646"/>
      <c r="U81" s="646"/>
      <c r="V81" s="646"/>
      <c r="W81" s="646"/>
      <c r="Z81" s="646"/>
      <c r="AA81" s="646"/>
      <c r="AB81" s="646"/>
      <c r="AC81" s="646"/>
      <c r="AF81" s="646"/>
      <c r="AG81" s="646"/>
      <c r="AH81" s="646"/>
      <c r="AI81" s="646"/>
    </row>
    <row r="82" spans="2:35">
      <c r="B82" s="646"/>
      <c r="C82" s="646"/>
      <c r="D82" s="646"/>
      <c r="E82" s="646"/>
      <c r="H82" s="646"/>
      <c r="I82" s="646"/>
      <c r="J82" s="646"/>
      <c r="K82" s="646"/>
      <c r="N82" s="646"/>
      <c r="O82" s="646"/>
      <c r="P82" s="646"/>
      <c r="Q82" s="646"/>
      <c r="T82" s="646"/>
      <c r="U82" s="646"/>
      <c r="V82" s="646"/>
      <c r="W82" s="646"/>
      <c r="Z82" s="646"/>
      <c r="AA82" s="646"/>
      <c r="AB82" s="646"/>
      <c r="AC82" s="646"/>
      <c r="AF82" s="646"/>
      <c r="AG82" s="646"/>
      <c r="AH82" s="646"/>
      <c r="AI82" s="646"/>
    </row>
    <row r="83" spans="2:35">
      <c r="E83"/>
    </row>
    <row r="84" spans="2:35">
      <c r="B84" s="326" t="s">
        <v>508</v>
      </c>
      <c r="C84" s="190"/>
      <c r="D84" s="190"/>
      <c r="E84" s="500"/>
      <c r="H84" s="326" t="s">
        <v>508</v>
      </c>
      <c r="I84" s="190"/>
      <c r="J84" s="190"/>
      <c r="K84" s="500"/>
      <c r="N84" s="326" t="s">
        <v>508</v>
      </c>
      <c r="O84" s="190"/>
      <c r="P84" s="190"/>
      <c r="Q84" s="500"/>
      <c r="T84" s="326" t="s">
        <v>508</v>
      </c>
      <c r="U84" s="190"/>
      <c r="V84" s="190"/>
      <c r="W84" s="500"/>
      <c r="Z84" s="326" t="s">
        <v>508</v>
      </c>
      <c r="AA84" s="190"/>
      <c r="AB84" s="190"/>
      <c r="AC84" s="500"/>
      <c r="AF84" s="326" t="s">
        <v>508</v>
      </c>
      <c r="AG84" s="190"/>
      <c r="AH84" s="190"/>
      <c r="AI84" s="500"/>
    </row>
    <row r="85" spans="2:35">
      <c r="B85" s="646"/>
      <c r="C85" s="646"/>
      <c r="D85" s="646"/>
      <c r="E85" s="646"/>
      <c r="H85" s="646"/>
      <c r="I85" s="646"/>
      <c r="J85" s="646"/>
      <c r="K85" s="646"/>
      <c r="N85" s="646"/>
      <c r="O85" s="646"/>
      <c r="P85" s="646"/>
      <c r="Q85" s="646"/>
      <c r="T85" s="646"/>
      <c r="U85" s="646"/>
      <c r="V85" s="646"/>
      <c r="W85" s="646"/>
      <c r="Z85" s="646"/>
      <c r="AA85" s="646"/>
      <c r="AB85" s="646"/>
      <c r="AC85" s="646"/>
      <c r="AF85" s="646"/>
      <c r="AG85" s="646"/>
      <c r="AH85" s="646"/>
      <c r="AI85" s="646"/>
    </row>
    <row r="86" spans="2:35">
      <c r="B86" s="646"/>
      <c r="C86" s="646"/>
      <c r="D86" s="646"/>
      <c r="E86" s="646"/>
      <c r="H86" s="646"/>
      <c r="I86" s="646"/>
      <c r="J86" s="646"/>
      <c r="K86" s="646"/>
      <c r="N86" s="646"/>
      <c r="O86" s="646"/>
      <c r="P86" s="646"/>
      <c r="Q86" s="646"/>
      <c r="T86" s="646"/>
      <c r="U86" s="646"/>
      <c r="V86" s="646"/>
      <c r="W86" s="646"/>
      <c r="Z86" s="646"/>
      <c r="AA86" s="646"/>
      <c r="AB86" s="646"/>
      <c r="AC86" s="646"/>
      <c r="AF86" s="646"/>
      <c r="AG86" s="646"/>
      <c r="AH86" s="646"/>
      <c r="AI86" s="646"/>
    </row>
    <row r="87" spans="2:35">
      <c r="B87" s="646"/>
      <c r="C87" s="646"/>
      <c r="D87" s="646"/>
      <c r="E87" s="646"/>
      <c r="H87" s="646"/>
      <c r="I87" s="646"/>
      <c r="J87" s="646"/>
      <c r="K87" s="646"/>
      <c r="N87" s="646"/>
      <c r="O87" s="646"/>
      <c r="P87" s="646"/>
      <c r="Q87" s="646"/>
      <c r="T87" s="646"/>
      <c r="U87" s="646"/>
      <c r="V87" s="646"/>
      <c r="W87" s="646"/>
      <c r="Z87" s="646"/>
      <c r="AA87" s="646"/>
      <c r="AB87" s="646"/>
      <c r="AC87" s="646"/>
      <c r="AF87" s="646"/>
      <c r="AG87" s="646"/>
      <c r="AH87" s="646"/>
      <c r="AI87" s="646"/>
    </row>
    <row r="88" spans="2:35">
      <c r="B88" s="646"/>
      <c r="C88" s="646"/>
      <c r="D88" s="646"/>
      <c r="E88" s="646"/>
      <c r="H88" s="646"/>
      <c r="I88" s="646"/>
      <c r="J88" s="646"/>
      <c r="K88" s="646"/>
      <c r="N88" s="646"/>
      <c r="O88" s="646"/>
      <c r="P88" s="646"/>
      <c r="Q88" s="646"/>
      <c r="T88" s="646"/>
      <c r="U88" s="646"/>
      <c r="V88" s="646"/>
      <c r="W88" s="646"/>
      <c r="Z88" s="646"/>
      <c r="AA88" s="646"/>
      <c r="AB88" s="646"/>
      <c r="AC88" s="646"/>
      <c r="AF88" s="646"/>
      <c r="AG88" s="646"/>
      <c r="AH88" s="646"/>
      <c r="AI88" s="646"/>
    </row>
    <row r="89" spans="2:35">
      <c r="E89" s="299"/>
      <c r="K89" s="299"/>
      <c r="Q89" s="299"/>
      <c r="W89" s="299"/>
      <c r="AC89" s="299"/>
      <c r="AI89" s="299"/>
    </row>
    <row r="90" spans="2:35">
      <c r="B90" s="326" t="s">
        <v>425</v>
      </c>
      <c r="C90" s="501"/>
      <c r="D90" s="501"/>
      <c r="E90" s="502"/>
      <c r="H90" s="326" t="s">
        <v>425</v>
      </c>
      <c r="I90" s="501"/>
      <c r="J90" s="501"/>
      <c r="K90" s="502"/>
      <c r="N90" s="326" t="s">
        <v>425</v>
      </c>
      <c r="O90" s="501"/>
      <c r="P90" s="501"/>
      <c r="Q90" s="502"/>
      <c r="T90" s="326" t="s">
        <v>425</v>
      </c>
      <c r="U90" s="501"/>
      <c r="V90" s="501"/>
      <c r="W90" s="502"/>
      <c r="Z90" s="326" t="s">
        <v>425</v>
      </c>
      <c r="AA90" s="501"/>
      <c r="AB90" s="501"/>
      <c r="AC90" s="502"/>
      <c r="AF90" s="326" t="s">
        <v>425</v>
      </c>
      <c r="AG90" s="501"/>
      <c r="AH90" s="501"/>
      <c r="AI90" s="502"/>
    </row>
    <row r="91" spans="2:35" s="167" customFormat="1">
      <c r="E91" s="499"/>
    </row>
    <row r="92" spans="2:35" s="167" customFormat="1">
      <c r="E92" s="499"/>
    </row>
    <row r="93" spans="2:35" s="167" customFormat="1">
      <c r="E93" s="499"/>
    </row>
    <row r="94" spans="2:35" s="167" customFormat="1">
      <c r="E94" s="499"/>
    </row>
    <row r="95" spans="2:35" s="167" customFormat="1">
      <c r="E95" s="499"/>
    </row>
    <row r="96" spans="2:35" s="167" customFormat="1">
      <c r="E96" s="499"/>
    </row>
    <row r="97" spans="5:5" s="167" customFormat="1">
      <c r="E97" s="499"/>
    </row>
    <row r="98" spans="5:5" s="167" customFormat="1">
      <c r="E98" s="499"/>
    </row>
    <row r="99" spans="5:5" s="167" customFormat="1">
      <c r="E99" s="499"/>
    </row>
    <row r="100" spans="5:5" s="167" customFormat="1">
      <c r="E100" s="499"/>
    </row>
    <row r="101" spans="5:5" s="167" customFormat="1">
      <c r="E101" s="499"/>
    </row>
    <row r="102" spans="5:5" s="167" customFormat="1">
      <c r="E102" s="499"/>
    </row>
    <row r="103" spans="5:5" s="167" customFormat="1">
      <c r="E103" s="499"/>
    </row>
    <row r="104" spans="5:5" s="167" customFormat="1">
      <c r="E104" s="499"/>
    </row>
    <row r="105" spans="5:5" s="167" customFormat="1">
      <c r="E105" s="499"/>
    </row>
    <row r="106" spans="5:5" s="167" customFormat="1">
      <c r="E106" s="499"/>
    </row>
    <row r="107" spans="5:5" s="167" customFormat="1">
      <c r="E107" s="499"/>
    </row>
    <row r="108" spans="5:5" s="167" customFormat="1">
      <c r="E108" s="499"/>
    </row>
    <row r="109" spans="5:5" s="167" customFormat="1">
      <c r="E109" s="499"/>
    </row>
    <row r="110" spans="5:5" s="167" customFormat="1">
      <c r="E110" s="499"/>
    </row>
    <row r="111" spans="5:5" s="167" customFormat="1">
      <c r="E111" s="499"/>
    </row>
    <row r="112" spans="5:5" s="167" customFormat="1">
      <c r="E112" s="499"/>
    </row>
    <row r="113" spans="5:5" s="167" customFormat="1">
      <c r="E113" s="499"/>
    </row>
    <row r="114" spans="5:5" s="167" customFormat="1">
      <c r="E114" s="499"/>
    </row>
    <row r="115" spans="5:5" s="167" customFormat="1">
      <c r="E115" s="499"/>
    </row>
    <row r="116" spans="5:5" s="167" customFormat="1">
      <c r="E116" s="499"/>
    </row>
    <row r="117" spans="5:5" s="167" customFormat="1">
      <c r="E117" s="499"/>
    </row>
    <row r="118" spans="5:5" s="167" customFormat="1">
      <c r="E118" s="499"/>
    </row>
    <row r="119" spans="5:5" s="167" customFormat="1">
      <c r="E119" s="499"/>
    </row>
    <row r="120" spans="5:5" s="167" customFormat="1">
      <c r="E120" s="499"/>
    </row>
    <row r="121" spans="5:5" s="167" customFormat="1">
      <c r="E121" s="499"/>
    </row>
    <row r="122" spans="5:5" s="167" customFormat="1">
      <c r="E122" s="499"/>
    </row>
    <row r="123" spans="5:5" s="167" customFormat="1">
      <c r="E123" s="499"/>
    </row>
    <row r="124" spans="5:5" s="167" customFormat="1">
      <c r="E124" s="499"/>
    </row>
    <row r="125" spans="5:5" s="167" customFormat="1">
      <c r="E125" s="499"/>
    </row>
    <row r="126" spans="5:5" s="167" customFormat="1">
      <c r="E126" s="499"/>
    </row>
    <row r="127" spans="5:5" s="167" customFormat="1">
      <c r="E127" s="499"/>
    </row>
    <row r="128" spans="5:5" s="167" customFormat="1">
      <c r="E128" s="499"/>
    </row>
    <row r="129" spans="5:5" s="167" customFormat="1">
      <c r="E129" s="499"/>
    </row>
    <row r="130" spans="5:5" s="167" customFormat="1">
      <c r="E130" s="499"/>
    </row>
    <row r="131" spans="5:5" s="167" customFormat="1">
      <c r="E131" s="499"/>
    </row>
    <row r="132" spans="5:5" s="167" customFormat="1">
      <c r="E132" s="499"/>
    </row>
    <row r="133" spans="5:5" s="167" customFormat="1">
      <c r="E133" s="499"/>
    </row>
    <row r="134" spans="5:5" s="167" customFormat="1">
      <c r="E134" s="499"/>
    </row>
    <row r="135" spans="5:5" s="167" customFormat="1">
      <c r="E135" s="499"/>
    </row>
    <row r="136" spans="5:5" s="167" customFormat="1">
      <c r="E136" s="499"/>
    </row>
    <row r="137" spans="5:5" s="167" customFormat="1">
      <c r="E137" s="499"/>
    </row>
    <row r="138" spans="5:5" s="167" customFormat="1">
      <c r="E138" s="499"/>
    </row>
    <row r="139" spans="5:5" s="167" customFormat="1">
      <c r="E139" s="499"/>
    </row>
    <row r="140" spans="5:5" s="167" customFormat="1">
      <c r="E140" s="499"/>
    </row>
    <row r="141" spans="5:5" s="167" customFormat="1">
      <c r="E141" s="499"/>
    </row>
    <row r="142" spans="5:5" s="167" customFormat="1">
      <c r="E142" s="499"/>
    </row>
    <row r="143" spans="5:5" s="167" customFormat="1">
      <c r="E143" s="499"/>
    </row>
    <row r="144" spans="5:5" s="167" customFormat="1">
      <c r="E144" s="499"/>
    </row>
    <row r="145" spans="5:5" s="167" customFormat="1">
      <c r="E145" s="499"/>
    </row>
    <row r="146" spans="5:5" s="167" customFormat="1">
      <c r="E146" s="499"/>
    </row>
    <row r="147" spans="5:5" s="167" customFormat="1">
      <c r="E147" s="499"/>
    </row>
    <row r="148" spans="5:5" s="167" customFormat="1">
      <c r="E148" s="499"/>
    </row>
    <row r="149" spans="5:5" s="167" customFormat="1">
      <c r="E149" s="499"/>
    </row>
    <row r="150" spans="5:5" s="167" customFormat="1">
      <c r="E150" s="499"/>
    </row>
    <row r="151" spans="5:5" s="167" customFormat="1">
      <c r="E151" s="499"/>
    </row>
    <row r="152" spans="5:5" s="167" customFormat="1">
      <c r="E152" s="499"/>
    </row>
    <row r="153" spans="5:5" s="167" customFormat="1">
      <c r="E153" s="499"/>
    </row>
    <row r="154" spans="5:5" s="167" customFormat="1">
      <c r="E154" s="499"/>
    </row>
    <row r="155" spans="5:5" s="167" customFormat="1">
      <c r="E155" s="499"/>
    </row>
    <row r="156" spans="5:5" s="167" customFormat="1">
      <c r="E156" s="499"/>
    </row>
    <row r="157" spans="5:5" s="167" customFormat="1">
      <c r="E157" s="499"/>
    </row>
    <row r="158" spans="5:5" s="167" customFormat="1">
      <c r="E158" s="499"/>
    </row>
    <row r="159" spans="5:5" s="167" customFormat="1">
      <c r="E159" s="499"/>
    </row>
    <row r="160" spans="5:5" s="167" customFormat="1">
      <c r="E160" s="499"/>
    </row>
    <row r="161" spans="5:5" s="167" customFormat="1">
      <c r="E161" s="499"/>
    </row>
    <row r="162" spans="5:5" s="167" customFormat="1">
      <c r="E162" s="499"/>
    </row>
    <row r="163" spans="5:5" s="167" customFormat="1">
      <c r="E163" s="499"/>
    </row>
    <row r="164" spans="5:5" s="167" customFormat="1">
      <c r="E164" s="499"/>
    </row>
    <row r="165" spans="5:5" s="167" customFormat="1">
      <c r="E165" s="499"/>
    </row>
    <row r="166" spans="5:5" s="167" customFormat="1">
      <c r="E166" s="499"/>
    </row>
    <row r="167" spans="5:5" s="167" customFormat="1">
      <c r="E167" s="499"/>
    </row>
    <row r="168" spans="5:5" s="167" customFormat="1">
      <c r="E168" s="499"/>
    </row>
    <row r="169" spans="5:5" s="167" customFormat="1">
      <c r="E169" s="499"/>
    </row>
  </sheetData>
  <protectedRanges>
    <protectedRange sqref="A59 B60:E60 A62:R62 F59:F61 L60:L61 R59:R61 H60:K60 N60:Q60 T60:W60 Z60:AC60 AF60:AI60 F63:F76 L63:L76 R63:R76 G59 L59:M59 S59 Y59 AE59" name="Notes"/>
    <protectedRange sqref="A63 A65:A66 A68:A80 G65:G66 G68:G76 M65:M66 M68:M76 S65:S66 S68:S76 Y65:Y66 Y68:Y76 AE65:AE66 AE68:AE76" name="Notes_1"/>
    <protectedRange sqref="A67 G67 M67 S67 Y67 AE67" name="Data Input_1"/>
    <protectedRange sqref="C70:D70 D69:E69 B65:E65 B67:D67 B69:B75 C72:E72 E70:E71 I70:J70 J69:K69 H65:K65 K70:K71 O70:P70 P69:Q69 N65:Q65 O72:Q72 Q70:Q71 U70:V70 V69:W69 T65:W65 U72:W72 W70:W71 AA70:AB70 AB69:AC69 Z65:AC65 AA72:AC72 AC70:AC71 AG70:AH70 AH69:AI69 AF65:AI65 AG72:AI72 AI70:AI71 H69:H75 N69:N75 T69:T75 AF69:AF75 Z69:Z75 H67:J67 N67:P67 T67:V67 Z67:AB67 AF67:AH67 I72:K72 B66 C74:E75 D73:E73 I74:K75 J73:K73 O74:Q75 P73:Q73 U74:W75 V73:W73 AA74:AC75 AB73:AC73 AG74:AI75 AH73:AI73" name="Notes_3"/>
    <protectedRange sqref="M63 M77:M80" name="Notes_6"/>
    <protectedRange sqref="S63 S77:S80 Y63 Y77:Y80 AE63 AE77:AE80" name="Notes_7"/>
  </protectedRanges>
  <mergeCells count="18">
    <mergeCell ref="S1:W1"/>
    <mergeCell ref="Y1:AC1"/>
    <mergeCell ref="AE1:AI1"/>
    <mergeCell ref="A1:E1"/>
    <mergeCell ref="M1:Q1"/>
    <mergeCell ref="G1:K1"/>
    <mergeCell ref="T79:W82"/>
    <mergeCell ref="Z79:AC82"/>
    <mergeCell ref="AF79:AI82"/>
    <mergeCell ref="B79:E82"/>
    <mergeCell ref="H79:K82"/>
    <mergeCell ref="N79:Q82"/>
    <mergeCell ref="AF85:AI88"/>
    <mergeCell ref="B85:E88"/>
    <mergeCell ref="H85:K88"/>
    <mergeCell ref="N85:Q88"/>
    <mergeCell ref="T85:W88"/>
    <mergeCell ref="Z85:AC88"/>
  </mergeCells>
  <dataValidations count="2">
    <dataValidation allowBlank="1" showInputMessage="1" showErrorMessage="1" prompt="Hours, FTE and Proposed Cost for Personnel will be pulled from Productive hours Tab." sqref="C3 I3 O3 U3 AA3 AG3" xr:uid="{8464B45D-B1F0-4B51-B8EE-B2A5DBFB8ED5}"/>
    <dataValidation allowBlank="1" showInputMessage="1" showErrorMessage="1" prompt="Input unit of measurement" sqref="E56 K56 Q56 W56 AC56 AI56" xr:uid="{09036CFD-729F-46EE-9F10-1FBC653B0A23}"/>
  </dataValidations>
  <pageMargins left="0.25" right="0.25" top="0.75" bottom="0.75" header="0.3" footer="0.3"/>
  <pageSetup scale="47" orientation="landscape" r:id="rId1"/>
  <headerFooter>
    <oddFooter>&amp;L&amp;P&amp;R&amp;D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V116"/>
  <sheetViews>
    <sheetView showGridLines="0" zoomScale="85" zoomScaleNormal="85" workbookViewId="0">
      <pane ySplit="6" topLeftCell="A7" activePane="bottomLeft" state="frozen"/>
      <selection pane="bottomLeft" activeCell="B2" sqref="B2"/>
    </sheetView>
  </sheetViews>
  <sheetFormatPr defaultColWidth="9.140625" defaultRowHeight="12" outlineLevelRow="1" outlineLevelCol="1"/>
  <cols>
    <col min="1" max="1" width="27.42578125" style="372" customWidth="1"/>
    <col min="2" max="2" width="14.42578125" style="372" bestFit="1" customWidth="1"/>
    <col min="3" max="3" width="11.5703125" style="372" customWidth="1"/>
    <col min="4" max="4" width="16.28515625" style="372" bestFit="1" customWidth="1"/>
    <col min="5" max="5" width="12.7109375" style="372" customWidth="1"/>
    <col min="6" max="6" width="9.5703125" style="372" bestFit="1" customWidth="1"/>
    <col min="7" max="7" width="15.7109375" style="372" customWidth="1"/>
    <col min="8" max="8" width="15" style="372" customWidth="1"/>
    <col min="9" max="9" width="11.42578125" style="372" customWidth="1"/>
    <col min="10" max="10" width="18" style="372" customWidth="1"/>
    <col min="11" max="11" width="18" style="372" bestFit="1" customWidth="1"/>
    <col min="12" max="12" width="15.28515625" style="372" customWidth="1"/>
    <col min="13" max="13" width="12.7109375" style="372" customWidth="1"/>
    <col min="14" max="14" width="3.28515625" style="372" customWidth="1"/>
    <col min="15" max="20" width="15.140625" style="372" customWidth="1" outlineLevel="1"/>
    <col min="21" max="21" width="15.140625" style="372" customWidth="1"/>
    <col min="22" max="22" width="3.28515625" style="372" customWidth="1"/>
    <col min="23" max="28" width="13.85546875" style="372" customWidth="1" outlineLevel="1"/>
    <col min="29" max="29" width="10.5703125" style="372" bestFit="1" customWidth="1"/>
    <col min="30" max="30" width="0" style="372" hidden="1" customWidth="1" outlineLevel="1"/>
    <col min="31" max="31" width="9.140625" style="372" collapsed="1"/>
    <col min="32" max="48" width="9.140625" style="579"/>
    <col min="49" max="16384" width="9.140625" style="372"/>
  </cols>
  <sheetData>
    <row r="1" spans="1:30" ht="19.149999999999999" customHeight="1">
      <c r="A1" s="405" t="s">
        <v>469</v>
      </c>
      <c r="B1" s="366"/>
      <c r="C1" s="367"/>
      <c r="D1" s="367"/>
      <c r="E1" s="368"/>
      <c r="F1" s="367"/>
      <c r="G1" s="369"/>
      <c r="H1" s="370"/>
      <c r="I1" s="370"/>
      <c r="J1" s="370"/>
      <c r="K1" s="371"/>
      <c r="L1" s="370"/>
      <c r="M1" s="371"/>
      <c r="N1" s="371"/>
      <c r="V1" s="371"/>
    </row>
    <row r="2" spans="1:30" ht="19.149999999999999" customHeight="1">
      <c r="A2" s="289" t="s">
        <v>374</v>
      </c>
      <c r="B2" s="365">
        <v>45474</v>
      </c>
      <c r="C2" s="373" t="s">
        <v>455</v>
      </c>
      <c r="D2" s="365">
        <v>45838</v>
      </c>
      <c r="F2" s="289"/>
      <c r="G2" s="374"/>
      <c r="H2" s="375"/>
      <c r="I2" s="375"/>
      <c r="J2" s="375"/>
      <c r="L2" s="375"/>
    </row>
    <row r="3" spans="1:30" ht="15">
      <c r="C3" s="376"/>
      <c r="D3" s="376"/>
      <c r="F3" s="289"/>
      <c r="G3" s="374"/>
      <c r="H3" s="375"/>
      <c r="I3" s="375"/>
      <c r="J3" s="375"/>
      <c r="L3" s="375"/>
    </row>
    <row r="4" spans="1:30" ht="15">
      <c r="A4" s="648" t="s">
        <v>557</v>
      </c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50"/>
      <c r="O4" s="680" t="s">
        <v>522</v>
      </c>
      <c r="P4" s="681"/>
      <c r="Q4" s="681"/>
      <c r="R4" s="681"/>
      <c r="S4" s="681"/>
      <c r="T4" s="681"/>
      <c r="U4" s="682"/>
      <c r="W4" s="677" t="s">
        <v>510</v>
      </c>
      <c r="X4" s="678"/>
      <c r="Y4" s="678"/>
      <c r="Z4" s="678"/>
      <c r="AA4" s="678"/>
      <c r="AB4" s="678"/>
      <c r="AC4" s="679"/>
    </row>
    <row r="5" spans="1:30" ht="16.899999999999999" customHeight="1">
      <c r="A5" s="683" t="s">
        <v>458</v>
      </c>
      <c r="B5" s="683"/>
      <c r="C5" s="684" t="s">
        <v>459</v>
      </c>
      <c r="D5" s="676" t="s">
        <v>520</v>
      </c>
      <c r="E5" s="676" t="s">
        <v>460</v>
      </c>
      <c r="F5" s="676" t="s">
        <v>461</v>
      </c>
      <c r="G5" s="676" t="s">
        <v>462</v>
      </c>
      <c r="H5" s="676" t="s">
        <v>463</v>
      </c>
      <c r="I5" s="676" t="s">
        <v>464</v>
      </c>
      <c r="J5" s="676" t="s">
        <v>465</v>
      </c>
      <c r="K5" s="676" t="s">
        <v>468</v>
      </c>
      <c r="L5" s="676" t="s">
        <v>466</v>
      </c>
      <c r="M5" s="676" t="s">
        <v>467</v>
      </c>
      <c r="O5" s="676" t="str">
        <f>'Productive Hours'!Q4</f>
        <v>Ex: Per Acre</v>
      </c>
      <c r="P5" s="676" t="str">
        <f>'Productive Hours'!Q5</f>
        <v>Ex: Ground Prep Acre</v>
      </c>
      <c r="Q5" s="676" t="str">
        <f>'Productive Hours'!Q6</f>
        <v>Ex: Direct Research</v>
      </c>
      <c r="R5" s="676" t="str">
        <f>'Productive Hours'!Q7</f>
        <v>Ex: Other Type</v>
      </c>
      <c r="S5" s="676" t="str">
        <f>'Productive Hours'!Q8</f>
        <v>Ex: Other Type 1</v>
      </c>
      <c r="T5" s="676" t="str">
        <f>'Productive Hours'!Q9</f>
        <v>Ex: Other Type 2</v>
      </c>
      <c r="U5" s="676" t="s">
        <v>25</v>
      </c>
      <c r="V5" s="289"/>
      <c r="W5" s="676" t="str">
        <f>'Productive Hours'!Q4</f>
        <v>Ex: Per Acre</v>
      </c>
      <c r="X5" s="676" t="str">
        <f>'Productive Hours'!Q5</f>
        <v>Ex: Ground Prep Acre</v>
      </c>
      <c r="Y5" s="676" t="str">
        <f>'Productive Hours'!Q6</f>
        <v>Ex: Direct Research</v>
      </c>
      <c r="Z5" s="676" t="str">
        <f>'Productive Hours'!Q7</f>
        <v>Ex: Other Type</v>
      </c>
      <c r="AA5" s="676" t="str">
        <f>'Productive Hours'!Q8</f>
        <v>Ex: Other Type 1</v>
      </c>
      <c r="AB5" s="676" t="str">
        <f>'Productive Hours'!Q9</f>
        <v>Ex: Other Type 2</v>
      </c>
      <c r="AC5" s="676" t="s">
        <v>25</v>
      </c>
      <c r="AD5" s="659" t="s">
        <v>509</v>
      </c>
    </row>
    <row r="6" spans="1:30" ht="28.9" customHeight="1">
      <c r="A6" s="377" t="s">
        <v>456</v>
      </c>
      <c r="B6" s="377" t="s">
        <v>457</v>
      </c>
      <c r="C6" s="684"/>
      <c r="D6" s="676"/>
      <c r="E6" s="676"/>
      <c r="F6" s="676"/>
      <c r="G6" s="676" t="s">
        <v>132</v>
      </c>
      <c r="H6" s="676" t="s">
        <v>132</v>
      </c>
      <c r="I6" s="676" t="s">
        <v>132</v>
      </c>
      <c r="J6" s="676"/>
      <c r="K6" s="676"/>
      <c r="L6" s="676"/>
      <c r="M6" s="676" t="s">
        <v>132</v>
      </c>
      <c r="O6" s="676"/>
      <c r="P6" s="676"/>
      <c r="Q6" s="676"/>
      <c r="R6" s="676"/>
      <c r="S6" s="676"/>
      <c r="T6" s="676"/>
      <c r="U6" s="676"/>
      <c r="V6" s="289"/>
      <c r="W6" s="676"/>
      <c r="X6" s="676"/>
      <c r="Y6" s="676"/>
      <c r="Z6" s="676"/>
      <c r="AA6" s="676"/>
      <c r="AB6" s="676"/>
      <c r="AC6" s="676"/>
      <c r="AD6" s="659"/>
    </row>
    <row r="7" spans="1:30" ht="19.149999999999999" customHeight="1">
      <c r="A7" s="378"/>
      <c r="B7" s="379"/>
      <c r="C7" s="380"/>
      <c r="D7" s="557"/>
      <c r="E7" s="381"/>
      <c r="F7" s="382"/>
      <c r="G7" s="383"/>
      <c r="H7" s="384">
        <f>(E7-F7)*G7</f>
        <v>0</v>
      </c>
      <c r="I7" s="622"/>
      <c r="J7" s="622"/>
      <c r="K7" s="623"/>
      <c r="L7" s="580">
        <f>IFERROR(H7/I7,0)</f>
        <v>0</v>
      </c>
      <c r="M7" s="385">
        <f>K7*L7</f>
        <v>0</v>
      </c>
      <c r="O7" s="612"/>
      <c r="P7" s="612"/>
      <c r="Q7" s="612"/>
      <c r="R7" s="612"/>
      <c r="S7" s="612"/>
      <c r="T7" s="612"/>
      <c r="U7" s="613">
        <f>SUM(O7:T7)</f>
        <v>0</v>
      </c>
      <c r="V7" s="289"/>
      <c r="W7" s="418">
        <f>$M7*O7</f>
        <v>0</v>
      </c>
      <c r="X7" s="418">
        <f t="shared" ref="X7:AB7" si="0">$M7*P7</f>
        <v>0</v>
      </c>
      <c r="Y7" s="418">
        <f t="shared" si="0"/>
        <v>0</v>
      </c>
      <c r="Z7" s="418">
        <f t="shared" si="0"/>
        <v>0</v>
      </c>
      <c r="AA7" s="418">
        <f t="shared" si="0"/>
        <v>0</v>
      </c>
      <c r="AB7" s="418">
        <f t="shared" si="0"/>
        <v>0</v>
      </c>
      <c r="AC7" s="418">
        <f>SUM(W7:AB7)</f>
        <v>0</v>
      </c>
      <c r="AD7" s="289" t="b">
        <f>M7=AC7</f>
        <v>1</v>
      </c>
    </row>
    <row r="8" spans="1:30" ht="19.149999999999999" customHeight="1">
      <c r="A8" s="386"/>
      <c r="B8" s="379"/>
      <c r="C8" s="388"/>
      <c r="D8" s="557"/>
      <c r="E8" s="381"/>
      <c r="F8" s="389"/>
      <c r="G8" s="383"/>
      <c r="H8" s="384">
        <f t="shared" ref="H8:H34" si="1">(E8-F8)*G8</f>
        <v>0</v>
      </c>
      <c r="I8" s="623"/>
      <c r="J8" s="622"/>
      <c r="K8" s="623"/>
      <c r="L8" s="580">
        <f t="shared" ref="L8:L34" si="2">IFERROR(H8/I8,0)</f>
        <v>0</v>
      </c>
      <c r="M8" s="385">
        <f t="shared" ref="M8:M32" si="3">K8*L8</f>
        <v>0</v>
      </c>
      <c r="O8" s="612"/>
      <c r="P8" s="612"/>
      <c r="Q8" s="612"/>
      <c r="R8" s="612"/>
      <c r="S8" s="612"/>
      <c r="T8" s="612"/>
      <c r="U8" s="613">
        <f t="shared" ref="U8:U34" si="4">SUM(O8:T8)</f>
        <v>0</v>
      </c>
      <c r="V8" s="289"/>
      <c r="W8" s="418">
        <f t="shared" ref="W8:W34" si="5">$M8*O8</f>
        <v>0</v>
      </c>
      <c r="X8" s="418">
        <f t="shared" ref="X8:X34" si="6">$M8*P8</f>
        <v>0</v>
      </c>
      <c r="Y8" s="418">
        <f t="shared" ref="Y8:Y34" si="7">$M8*Q8</f>
        <v>0</v>
      </c>
      <c r="Z8" s="418">
        <f t="shared" ref="Z8:Z34" si="8">$M8*R8</f>
        <v>0</v>
      </c>
      <c r="AA8" s="418">
        <f t="shared" ref="AA8:AA34" si="9">$M8*S8</f>
        <v>0</v>
      </c>
      <c r="AB8" s="418">
        <f t="shared" ref="AB8:AB34" si="10">$M8*T8</f>
        <v>0</v>
      </c>
      <c r="AC8" s="418">
        <f t="shared" ref="AC8:AC34" si="11">SUM(W8:AB8)</f>
        <v>0</v>
      </c>
      <c r="AD8" s="289" t="b">
        <f t="shared" ref="AD8:AD34" si="12">M8=AC8</f>
        <v>1</v>
      </c>
    </row>
    <row r="9" spans="1:30" ht="19.149999999999999" customHeight="1">
      <c r="A9" s="386"/>
      <c r="B9" s="379"/>
      <c r="C9" s="388"/>
      <c r="D9" s="557"/>
      <c r="E9" s="381"/>
      <c r="F9" s="389"/>
      <c r="G9" s="383"/>
      <c r="H9" s="384">
        <f>(E9-F9)*G9</f>
        <v>0</v>
      </c>
      <c r="I9" s="623"/>
      <c r="J9" s="622"/>
      <c r="K9" s="623"/>
      <c r="L9" s="580">
        <f t="shared" si="2"/>
        <v>0</v>
      </c>
      <c r="M9" s="385">
        <f t="shared" ref="M9:M31" si="13">K9*L9</f>
        <v>0</v>
      </c>
      <c r="O9" s="612"/>
      <c r="P9" s="612"/>
      <c r="Q9" s="612"/>
      <c r="R9" s="612"/>
      <c r="S9" s="612"/>
      <c r="T9" s="612"/>
      <c r="U9" s="613">
        <f t="shared" si="4"/>
        <v>0</v>
      </c>
      <c r="V9" s="289"/>
      <c r="W9" s="418">
        <f t="shared" si="5"/>
        <v>0</v>
      </c>
      <c r="X9" s="418">
        <f t="shared" si="6"/>
        <v>0</v>
      </c>
      <c r="Y9" s="418">
        <f t="shared" si="7"/>
        <v>0</v>
      </c>
      <c r="Z9" s="418">
        <f t="shared" si="8"/>
        <v>0</v>
      </c>
      <c r="AA9" s="418">
        <f t="shared" si="9"/>
        <v>0</v>
      </c>
      <c r="AB9" s="418">
        <f t="shared" si="10"/>
        <v>0</v>
      </c>
      <c r="AC9" s="418">
        <f t="shared" si="11"/>
        <v>0</v>
      </c>
      <c r="AD9" s="289" t="b">
        <f t="shared" si="12"/>
        <v>1</v>
      </c>
    </row>
    <row r="10" spans="1:30" ht="19.149999999999999" customHeight="1">
      <c r="A10" s="386"/>
      <c r="B10" s="379"/>
      <c r="C10" s="388"/>
      <c r="D10" s="558"/>
      <c r="E10" s="381"/>
      <c r="F10" s="389"/>
      <c r="G10" s="383"/>
      <c r="H10" s="384">
        <f t="shared" ref="H10:H31" si="14">(E10-F10)*G10</f>
        <v>0</v>
      </c>
      <c r="I10" s="623"/>
      <c r="J10" s="622"/>
      <c r="K10" s="623"/>
      <c r="L10" s="580">
        <f t="shared" si="2"/>
        <v>0</v>
      </c>
      <c r="M10" s="385">
        <f t="shared" si="13"/>
        <v>0</v>
      </c>
      <c r="O10" s="612"/>
      <c r="P10" s="612"/>
      <c r="Q10" s="612"/>
      <c r="R10" s="612"/>
      <c r="S10" s="612"/>
      <c r="T10" s="612"/>
      <c r="U10" s="613">
        <f t="shared" si="4"/>
        <v>0</v>
      </c>
      <c r="V10" s="289"/>
      <c r="W10" s="418">
        <f t="shared" si="5"/>
        <v>0</v>
      </c>
      <c r="X10" s="418">
        <f t="shared" si="6"/>
        <v>0</v>
      </c>
      <c r="Y10" s="418">
        <f t="shared" si="7"/>
        <v>0</v>
      </c>
      <c r="Z10" s="418">
        <f t="shared" si="8"/>
        <v>0</v>
      </c>
      <c r="AA10" s="418">
        <f t="shared" si="9"/>
        <v>0</v>
      </c>
      <c r="AB10" s="418">
        <f t="shared" si="10"/>
        <v>0</v>
      </c>
      <c r="AC10" s="418">
        <f t="shared" si="11"/>
        <v>0</v>
      </c>
      <c r="AD10" s="289" t="b">
        <f t="shared" si="12"/>
        <v>1</v>
      </c>
    </row>
    <row r="11" spans="1:30" ht="19.149999999999999" customHeight="1">
      <c r="A11" s="386"/>
      <c r="B11" s="379"/>
      <c r="C11" s="388"/>
      <c r="D11" s="558"/>
      <c r="E11" s="381"/>
      <c r="F11" s="389"/>
      <c r="G11" s="383"/>
      <c r="H11" s="384">
        <f t="shared" si="14"/>
        <v>0</v>
      </c>
      <c r="I11" s="623"/>
      <c r="J11" s="622"/>
      <c r="K11" s="623"/>
      <c r="L11" s="580">
        <f t="shared" si="2"/>
        <v>0</v>
      </c>
      <c r="M11" s="385">
        <f t="shared" si="13"/>
        <v>0</v>
      </c>
      <c r="O11" s="612"/>
      <c r="P11" s="612"/>
      <c r="Q11" s="612"/>
      <c r="R11" s="612"/>
      <c r="S11" s="612"/>
      <c r="T11" s="612"/>
      <c r="U11" s="613">
        <f t="shared" si="4"/>
        <v>0</v>
      </c>
      <c r="V11" s="289"/>
      <c r="W11" s="418">
        <f t="shared" si="5"/>
        <v>0</v>
      </c>
      <c r="X11" s="418">
        <f t="shared" si="6"/>
        <v>0</v>
      </c>
      <c r="Y11" s="418">
        <f t="shared" si="7"/>
        <v>0</v>
      </c>
      <c r="Z11" s="418">
        <f t="shared" si="8"/>
        <v>0</v>
      </c>
      <c r="AA11" s="418">
        <f t="shared" si="9"/>
        <v>0</v>
      </c>
      <c r="AB11" s="418">
        <f t="shared" si="10"/>
        <v>0</v>
      </c>
      <c r="AC11" s="418">
        <f t="shared" si="11"/>
        <v>0</v>
      </c>
      <c r="AD11" s="289" t="b">
        <f t="shared" si="12"/>
        <v>1</v>
      </c>
    </row>
    <row r="12" spans="1:30" ht="19.149999999999999" customHeight="1">
      <c r="A12" s="386"/>
      <c r="B12" s="379"/>
      <c r="C12" s="388"/>
      <c r="D12" s="558"/>
      <c r="E12" s="381"/>
      <c r="F12" s="389"/>
      <c r="G12" s="383"/>
      <c r="H12" s="384">
        <f t="shared" si="14"/>
        <v>0</v>
      </c>
      <c r="I12" s="623"/>
      <c r="J12" s="622"/>
      <c r="K12" s="623"/>
      <c r="L12" s="580">
        <f t="shared" si="2"/>
        <v>0</v>
      </c>
      <c r="M12" s="385">
        <f t="shared" si="13"/>
        <v>0</v>
      </c>
      <c r="O12" s="612"/>
      <c r="P12" s="612"/>
      <c r="Q12" s="612"/>
      <c r="R12" s="612"/>
      <c r="S12" s="612"/>
      <c r="T12" s="612"/>
      <c r="U12" s="613">
        <f t="shared" si="4"/>
        <v>0</v>
      </c>
      <c r="V12" s="289"/>
      <c r="W12" s="418">
        <f t="shared" si="5"/>
        <v>0</v>
      </c>
      <c r="X12" s="418">
        <f t="shared" si="6"/>
        <v>0</v>
      </c>
      <c r="Y12" s="418">
        <f t="shared" si="7"/>
        <v>0</v>
      </c>
      <c r="Z12" s="418">
        <f t="shared" si="8"/>
        <v>0</v>
      </c>
      <c r="AA12" s="418">
        <f t="shared" si="9"/>
        <v>0</v>
      </c>
      <c r="AB12" s="418">
        <f t="shared" si="10"/>
        <v>0</v>
      </c>
      <c r="AC12" s="418">
        <f t="shared" si="11"/>
        <v>0</v>
      </c>
      <c r="AD12" s="289" t="b">
        <f t="shared" si="12"/>
        <v>1</v>
      </c>
    </row>
    <row r="13" spans="1:30" ht="19.149999999999999" customHeight="1">
      <c r="A13" s="386"/>
      <c r="B13" s="387"/>
      <c r="C13" s="388"/>
      <c r="D13" s="558"/>
      <c r="E13" s="381"/>
      <c r="F13" s="389"/>
      <c r="G13" s="383"/>
      <c r="H13" s="384">
        <f t="shared" si="14"/>
        <v>0</v>
      </c>
      <c r="I13" s="623"/>
      <c r="J13" s="622"/>
      <c r="K13" s="623"/>
      <c r="L13" s="580">
        <f t="shared" si="2"/>
        <v>0</v>
      </c>
      <c r="M13" s="385">
        <f t="shared" si="13"/>
        <v>0</v>
      </c>
      <c r="O13" s="612"/>
      <c r="P13" s="612"/>
      <c r="Q13" s="612"/>
      <c r="R13" s="612"/>
      <c r="S13" s="612"/>
      <c r="T13" s="612"/>
      <c r="U13" s="613">
        <f t="shared" si="4"/>
        <v>0</v>
      </c>
      <c r="V13" s="289"/>
      <c r="W13" s="418">
        <f t="shared" si="5"/>
        <v>0</v>
      </c>
      <c r="X13" s="418">
        <f t="shared" si="6"/>
        <v>0</v>
      </c>
      <c r="Y13" s="418">
        <f t="shared" si="7"/>
        <v>0</v>
      </c>
      <c r="Z13" s="418">
        <f t="shared" si="8"/>
        <v>0</v>
      </c>
      <c r="AA13" s="418">
        <f t="shared" si="9"/>
        <v>0</v>
      </c>
      <c r="AB13" s="418">
        <f t="shared" si="10"/>
        <v>0</v>
      </c>
      <c r="AC13" s="418">
        <f t="shared" si="11"/>
        <v>0</v>
      </c>
      <c r="AD13" s="289" t="b">
        <f t="shared" si="12"/>
        <v>1</v>
      </c>
    </row>
    <row r="14" spans="1:30" ht="19.149999999999999" customHeight="1">
      <c r="A14" s="386"/>
      <c r="B14" s="387"/>
      <c r="C14" s="388"/>
      <c r="D14" s="558"/>
      <c r="E14" s="381"/>
      <c r="F14" s="389"/>
      <c r="G14" s="383"/>
      <c r="H14" s="384">
        <f t="shared" si="14"/>
        <v>0</v>
      </c>
      <c r="I14" s="623"/>
      <c r="J14" s="622"/>
      <c r="K14" s="623"/>
      <c r="L14" s="580">
        <f t="shared" si="2"/>
        <v>0</v>
      </c>
      <c r="M14" s="385">
        <f t="shared" si="13"/>
        <v>0</v>
      </c>
      <c r="O14" s="612"/>
      <c r="P14" s="612"/>
      <c r="Q14" s="612"/>
      <c r="R14" s="612"/>
      <c r="S14" s="612"/>
      <c r="T14" s="612"/>
      <c r="U14" s="613">
        <f t="shared" si="4"/>
        <v>0</v>
      </c>
      <c r="V14" s="289"/>
      <c r="W14" s="418">
        <f t="shared" si="5"/>
        <v>0</v>
      </c>
      <c r="X14" s="418">
        <f t="shared" si="6"/>
        <v>0</v>
      </c>
      <c r="Y14" s="418">
        <f t="shared" si="7"/>
        <v>0</v>
      </c>
      <c r="Z14" s="418">
        <f t="shared" si="8"/>
        <v>0</v>
      </c>
      <c r="AA14" s="418">
        <f t="shared" si="9"/>
        <v>0</v>
      </c>
      <c r="AB14" s="418">
        <f t="shared" si="10"/>
        <v>0</v>
      </c>
      <c r="AC14" s="418">
        <f t="shared" si="11"/>
        <v>0</v>
      </c>
      <c r="AD14" s="289" t="b">
        <f t="shared" si="12"/>
        <v>1</v>
      </c>
    </row>
    <row r="15" spans="1:30" ht="19.149999999999999" customHeight="1">
      <c r="A15" s="386"/>
      <c r="B15" s="387"/>
      <c r="C15" s="388"/>
      <c r="D15" s="558"/>
      <c r="E15" s="381"/>
      <c r="F15" s="389"/>
      <c r="G15" s="383"/>
      <c r="H15" s="384">
        <f t="shared" si="14"/>
        <v>0</v>
      </c>
      <c r="I15" s="623"/>
      <c r="J15" s="622"/>
      <c r="K15" s="623"/>
      <c r="L15" s="580">
        <f t="shared" si="2"/>
        <v>0</v>
      </c>
      <c r="M15" s="385">
        <f t="shared" si="13"/>
        <v>0</v>
      </c>
      <c r="O15" s="612"/>
      <c r="P15" s="612"/>
      <c r="Q15" s="612"/>
      <c r="R15" s="612"/>
      <c r="S15" s="612"/>
      <c r="T15" s="612"/>
      <c r="U15" s="613">
        <f t="shared" si="4"/>
        <v>0</v>
      </c>
      <c r="V15" s="289"/>
      <c r="W15" s="418">
        <f t="shared" si="5"/>
        <v>0</v>
      </c>
      <c r="X15" s="418">
        <f t="shared" si="6"/>
        <v>0</v>
      </c>
      <c r="Y15" s="418">
        <f t="shared" si="7"/>
        <v>0</v>
      </c>
      <c r="Z15" s="418">
        <f t="shared" si="8"/>
        <v>0</v>
      </c>
      <c r="AA15" s="418">
        <f t="shared" si="9"/>
        <v>0</v>
      </c>
      <c r="AB15" s="418">
        <f t="shared" si="10"/>
        <v>0</v>
      </c>
      <c r="AC15" s="418">
        <f t="shared" si="11"/>
        <v>0</v>
      </c>
      <c r="AD15" s="289" t="b">
        <f t="shared" si="12"/>
        <v>1</v>
      </c>
    </row>
    <row r="16" spans="1:30" ht="19.149999999999999" customHeight="1">
      <c r="A16" s="386"/>
      <c r="B16" s="387"/>
      <c r="C16" s="388"/>
      <c r="D16" s="558"/>
      <c r="E16" s="381"/>
      <c r="F16" s="389"/>
      <c r="G16" s="383"/>
      <c r="H16" s="384">
        <f t="shared" si="14"/>
        <v>0</v>
      </c>
      <c r="I16" s="623"/>
      <c r="J16" s="622"/>
      <c r="K16" s="623"/>
      <c r="L16" s="580">
        <f t="shared" si="2"/>
        <v>0</v>
      </c>
      <c r="M16" s="385">
        <f t="shared" si="13"/>
        <v>0</v>
      </c>
      <c r="O16" s="612"/>
      <c r="P16" s="612"/>
      <c r="Q16" s="612"/>
      <c r="R16" s="612"/>
      <c r="S16" s="612"/>
      <c r="T16" s="612"/>
      <c r="U16" s="613">
        <f t="shared" si="4"/>
        <v>0</v>
      </c>
      <c r="V16" s="289"/>
      <c r="W16" s="418">
        <f t="shared" si="5"/>
        <v>0</v>
      </c>
      <c r="X16" s="418">
        <f t="shared" si="6"/>
        <v>0</v>
      </c>
      <c r="Y16" s="418">
        <f t="shared" si="7"/>
        <v>0</v>
      </c>
      <c r="Z16" s="418">
        <f t="shared" si="8"/>
        <v>0</v>
      </c>
      <c r="AA16" s="418">
        <f t="shared" si="9"/>
        <v>0</v>
      </c>
      <c r="AB16" s="418">
        <f t="shared" si="10"/>
        <v>0</v>
      </c>
      <c r="AC16" s="418">
        <f t="shared" si="11"/>
        <v>0</v>
      </c>
      <c r="AD16" s="289" t="b">
        <f t="shared" si="12"/>
        <v>1</v>
      </c>
    </row>
    <row r="17" spans="1:30" ht="19.149999999999999" customHeight="1">
      <c r="A17" s="386"/>
      <c r="B17" s="387"/>
      <c r="C17" s="388"/>
      <c r="D17" s="558"/>
      <c r="E17" s="381"/>
      <c r="F17" s="389"/>
      <c r="G17" s="383"/>
      <c r="H17" s="384">
        <f t="shared" si="14"/>
        <v>0</v>
      </c>
      <c r="I17" s="623"/>
      <c r="J17" s="622"/>
      <c r="K17" s="623"/>
      <c r="L17" s="580">
        <f t="shared" si="2"/>
        <v>0</v>
      </c>
      <c r="M17" s="385">
        <f t="shared" si="13"/>
        <v>0</v>
      </c>
      <c r="O17" s="612"/>
      <c r="P17" s="612"/>
      <c r="Q17" s="612"/>
      <c r="R17" s="612"/>
      <c r="S17" s="612"/>
      <c r="T17" s="612"/>
      <c r="U17" s="613">
        <f t="shared" si="4"/>
        <v>0</v>
      </c>
      <c r="V17" s="289"/>
      <c r="W17" s="418">
        <f t="shared" si="5"/>
        <v>0</v>
      </c>
      <c r="X17" s="418">
        <f t="shared" si="6"/>
        <v>0</v>
      </c>
      <c r="Y17" s="418">
        <f t="shared" si="7"/>
        <v>0</v>
      </c>
      <c r="Z17" s="418">
        <f t="shared" si="8"/>
        <v>0</v>
      </c>
      <c r="AA17" s="418">
        <f t="shared" si="9"/>
        <v>0</v>
      </c>
      <c r="AB17" s="418">
        <f t="shared" si="10"/>
        <v>0</v>
      </c>
      <c r="AC17" s="418">
        <f t="shared" si="11"/>
        <v>0</v>
      </c>
      <c r="AD17" s="289" t="b">
        <f t="shared" si="12"/>
        <v>1</v>
      </c>
    </row>
    <row r="18" spans="1:30" ht="19.149999999999999" customHeight="1">
      <c r="A18" s="386"/>
      <c r="B18" s="390"/>
      <c r="C18" s="388"/>
      <c r="D18" s="558"/>
      <c r="E18" s="381"/>
      <c r="F18" s="389"/>
      <c r="G18" s="383"/>
      <c r="H18" s="384">
        <f t="shared" si="14"/>
        <v>0</v>
      </c>
      <c r="I18" s="623"/>
      <c r="J18" s="622"/>
      <c r="K18" s="623"/>
      <c r="L18" s="580">
        <f t="shared" si="2"/>
        <v>0</v>
      </c>
      <c r="M18" s="385">
        <f t="shared" si="13"/>
        <v>0</v>
      </c>
      <c r="O18" s="612"/>
      <c r="P18" s="612"/>
      <c r="Q18" s="612"/>
      <c r="R18" s="612"/>
      <c r="S18" s="612"/>
      <c r="T18" s="612"/>
      <c r="U18" s="613">
        <f t="shared" si="4"/>
        <v>0</v>
      </c>
      <c r="V18" s="289"/>
      <c r="W18" s="418">
        <f t="shared" si="5"/>
        <v>0</v>
      </c>
      <c r="X18" s="418">
        <f t="shared" si="6"/>
        <v>0</v>
      </c>
      <c r="Y18" s="418">
        <f t="shared" si="7"/>
        <v>0</v>
      </c>
      <c r="Z18" s="418">
        <f t="shared" si="8"/>
        <v>0</v>
      </c>
      <c r="AA18" s="418">
        <f t="shared" si="9"/>
        <v>0</v>
      </c>
      <c r="AB18" s="418">
        <f t="shared" si="10"/>
        <v>0</v>
      </c>
      <c r="AC18" s="418">
        <f t="shared" si="11"/>
        <v>0</v>
      </c>
      <c r="AD18" s="289" t="b">
        <f t="shared" si="12"/>
        <v>1</v>
      </c>
    </row>
    <row r="19" spans="1:30" ht="19.149999999999999" customHeight="1">
      <c r="A19" s="391"/>
      <c r="B19" s="392"/>
      <c r="C19" s="393"/>
      <c r="D19" s="553"/>
      <c r="E19" s="394"/>
      <c r="F19" s="389"/>
      <c r="G19" s="383"/>
      <c r="H19" s="384">
        <f t="shared" si="14"/>
        <v>0</v>
      </c>
      <c r="I19" s="622"/>
      <c r="J19" s="622"/>
      <c r="K19" s="623"/>
      <c r="L19" s="580">
        <f t="shared" si="2"/>
        <v>0</v>
      </c>
      <c r="M19" s="385">
        <f t="shared" si="13"/>
        <v>0</v>
      </c>
      <c r="O19" s="612"/>
      <c r="P19" s="612"/>
      <c r="Q19" s="612"/>
      <c r="R19" s="612"/>
      <c r="S19" s="612"/>
      <c r="T19" s="612"/>
      <c r="U19" s="613">
        <f t="shared" si="4"/>
        <v>0</v>
      </c>
      <c r="V19" s="289"/>
      <c r="W19" s="418">
        <f t="shared" si="5"/>
        <v>0</v>
      </c>
      <c r="X19" s="418">
        <f t="shared" si="6"/>
        <v>0</v>
      </c>
      <c r="Y19" s="418">
        <f t="shared" si="7"/>
        <v>0</v>
      </c>
      <c r="Z19" s="418">
        <f t="shared" si="8"/>
        <v>0</v>
      </c>
      <c r="AA19" s="418">
        <f t="shared" si="9"/>
        <v>0</v>
      </c>
      <c r="AB19" s="418">
        <f t="shared" si="10"/>
        <v>0</v>
      </c>
      <c r="AC19" s="418">
        <f t="shared" si="11"/>
        <v>0</v>
      </c>
      <c r="AD19" s="289" t="b">
        <f t="shared" si="12"/>
        <v>1</v>
      </c>
    </row>
    <row r="20" spans="1:30" ht="19.149999999999999" customHeight="1">
      <c r="A20" s="551"/>
      <c r="B20" s="552"/>
      <c r="C20" s="553"/>
      <c r="D20" s="553"/>
      <c r="E20" s="554"/>
      <c r="F20" s="555"/>
      <c r="G20" s="556"/>
      <c r="H20" s="384">
        <f t="shared" si="14"/>
        <v>0</v>
      </c>
      <c r="I20" s="624"/>
      <c r="J20" s="624"/>
      <c r="K20" s="625"/>
      <c r="L20" s="580">
        <f t="shared" si="2"/>
        <v>0</v>
      </c>
      <c r="M20" s="385">
        <f t="shared" si="13"/>
        <v>0</v>
      </c>
      <c r="O20" s="614"/>
      <c r="P20" s="614"/>
      <c r="Q20" s="614"/>
      <c r="R20" s="614"/>
      <c r="S20" s="614"/>
      <c r="T20" s="614"/>
      <c r="U20" s="613">
        <f t="shared" si="4"/>
        <v>0</v>
      </c>
      <c r="V20" s="289"/>
      <c r="W20" s="418">
        <f t="shared" ref="W20:W29" si="15">$M20*O20</f>
        <v>0</v>
      </c>
      <c r="X20" s="418">
        <f t="shared" ref="X20:X29" si="16">$M20*P20</f>
        <v>0</v>
      </c>
      <c r="Y20" s="418">
        <f t="shared" ref="Y20:Y29" si="17">$M20*Q20</f>
        <v>0</v>
      </c>
      <c r="Z20" s="418">
        <f t="shared" ref="Z20:Z29" si="18">$M20*R20</f>
        <v>0</v>
      </c>
      <c r="AA20" s="418">
        <f t="shared" ref="AA20:AA29" si="19">$M20*S20</f>
        <v>0</v>
      </c>
      <c r="AB20" s="418">
        <f t="shared" ref="AB20:AB29" si="20">$M20*T20</f>
        <v>0</v>
      </c>
      <c r="AC20" s="418">
        <f t="shared" ref="AC20:AC29" si="21">SUM(W20:AB20)</f>
        <v>0</v>
      </c>
      <c r="AD20" s="289" t="b">
        <f t="shared" si="12"/>
        <v>1</v>
      </c>
    </row>
    <row r="21" spans="1:30" ht="19.149999999999999" customHeight="1" outlineLevel="1">
      <c r="A21" s="551"/>
      <c r="B21" s="552"/>
      <c r="C21" s="553"/>
      <c r="D21" s="553"/>
      <c r="E21" s="554"/>
      <c r="F21" s="555"/>
      <c r="G21" s="556"/>
      <c r="H21" s="384">
        <f t="shared" si="14"/>
        <v>0</v>
      </c>
      <c r="I21" s="624"/>
      <c r="J21" s="624"/>
      <c r="K21" s="625"/>
      <c r="L21" s="580">
        <f t="shared" si="2"/>
        <v>0</v>
      </c>
      <c r="M21" s="385">
        <f t="shared" si="13"/>
        <v>0</v>
      </c>
      <c r="O21" s="614"/>
      <c r="P21" s="614"/>
      <c r="Q21" s="614"/>
      <c r="R21" s="614"/>
      <c r="S21" s="614"/>
      <c r="T21" s="614"/>
      <c r="U21" s="613">
        <f t="shared" si="4"/>
        <v>0</v>
      </c>
      <c r="V21" s="289"/>
      <c r="W21" s="418">
        <f t="shared" si="15"/>
        <v>0</v>
      </c>
      <c r="X21" s="418">
        <f t="shared" si="16"/>
        <v>0</v>
      </c>
      <c r="Y21" s="418">
        <f t="shared" si="17"/>
        <v>0</v>
      </c>
      <c r="Z21" s="418">
        <f t="shared" si="18"/>
        <v>0</v>
      </c>
      <c r="AA21" s="418">
        <f t="shared" si="19"/>
        <v>0</v>
      </c>
      <c r="AB21" s="418">
        <f t="shared" si="20"/>
        <v>0</v>
      </c>
      <c r="AC21" s="418">
        <f t="shared" si="21"/>
        <v>0</v>
      </c>
      <c r="AD21" s="289" t="b">
        <f t="shared" si="12"/>
        <v>1</v>
      </c>
    </row>
    <row r="22" spans="1:30" ht="19.149999999999999" customHeight="1" outlineLevel="1">
      <c r="A22" s="551"/>
      <c r="B22" s="552"/>
      <c r="C22" s="553"/>
      <c r="D22" s="553"/>
      <c r="E22" s="554"/>
      <c r="F22" s="555"/>
      <c r="G22" s="556"/>
      <c r="H22" s="384">
        <f t="shared" si="14"/>
        <v>0</v>
      </c>
      <c r="I22" s="624"/>
      <c r="J22" s="624"/>
      <c r="K22" s="625"/>
      <c r="L22" s="580">
        <f t="shared" si="2"/>
        <v>0</v>
      </c>
      <c r="M22" s="385">
        <f t="shared" si="13"/>
        <v>0</v>
      </c>
      <c r="O22" s="614"/>
      <c r="P22" s="614"/>
      <c r="Q22" s="614"/>
      <c r="R22" s="614"/>
      <c r="S22" s="614"/>
      <c r="T22" s="614"/>
      <c r="U22" s="613">
        <f t="shared" si="4"/>
        <v>0</v>
      </c>
      <c r="V22" s="289"/>
      <c r="W22" s="418">
        <f t="shared" si="15"/>
        <v>0</v>
      </c>
      <c r="X22" s="418">
        <f t="shared" si="16"/>
        <v>0</v>
      </c>
      <c r="Y22" s="418">
        <f t="shared" si="17"/>
        <v>0</v>
      </c>
      <c r="Z22" s="418">
        <f t="shared" si="18"/>
        <v>0</v>
      </c>
      <c r="AA22" s="418">
        <f t="shared" si="19"/>
        <v>0</v>
      </c>
      <c r="AB22" s="418">
        <f t="shared" si="20"/>
        <v>0</v>
      </c>
      <c r="AC22" s="418">
        <f t="shared" si="21"/>
        <v>0</v>
      </c>
      <c r="AD22" s="289" t="b">
        <f t="shared" si="12"/>
        <v>1</v>
      </c>
    </row>
    <row r="23" spans="1:30" ht="19.149999999999999" customHeight="1" outlineLevel="1">
      <c r="A23" s="551"/>
      <c r="B23" s="552"/>
      <c r="C23" s="553"/>
      <c r="D23" s="553"/>
      <c r="E23" s="554"/>
      <c r="F23" s="555"/>
      <c r="G23" s="556"/>
      <c r="H23" s="384">
        <f t="shared" si="14"/>
        <v>0</v>
      </c>
      <c r="I23" s="624"/>
      <c r="J23" s="624"/>
      <c r="K23" s="625"/>
      <c r="L23" s="580">
        <f t="shared" si="2"/>
        <v>0</v>
      </c>
      <c r="M23" s="385">
        <f t="shared" si="13"/>
        <v>0</v>
      </c>
      <c r="O23" s="614"/>
      <c r="P23" s="614"/>
      <c r="Q23" s="614"/>
      <c r="R23" s="614"/>
      <c r="S23" s="614"/>
      <c r="T23" s="614"/>
      <c r="U23" s="613">
        <f t="shared" si="4"/>
        <v>0</v>
      </c>
      <c r="V23" s="289"/>
      <c r="W23" s="418">
        <f t="shared" si="15"/>
        <v>0</v>
      </c>
      <c r="X23" s="418">
        <f t="shared" si="16"/>
        <v>0</v>
      </c>
      <c r="Y23" s="418">
        <f t="shared" si="17"/>
        <v>0</v>
      </c>
      <c r="Z23" s="418">
        <f t="shared" si="18"/>
        <v>0</v>
      </c>
      <c r="AA23" s="418">
        <f t="shared" si="19"/>
        <v>0</v>
      </c>
      <c r="AB23" s="418">
        <f t="shared" si="20"/>
        <v>0</v>
      </c>
      <c r="AC23" s="418">
        <f t="shared" si="21"/>
        <v>0</v>
      </c>
      <c r="AD23" s="289" t="b">
        <f t="shared" si="12"/>
        <v>1</v>
      </c>
    </row>
    <row r="24" spans="1:30" ht="19.149999999999999" customHeight="1" outlineLevel="1">
      <c r="A24" s="551"/>
      <c r="B24" s="552"/>
      <c r="C24" s="553"/>
      <c r="D24" s="553"/>
      <c r="E24" s="554"/>
      <c r="F24" s="555"/>
      <c r="G24" s="556"/>
      <c r="H24" s="384">
        <f t="shared" si="14"/>
        <v>0</v>
      </c>
      <c r="I24" s="624"/>
      <c r="J24" s="624"/>
      <c r="K24" s="625"/>
      <c r="L24" s="580">
        <f t="shared" si="2"/>
        <v>0</v>
      </c>
      <c r="M24" s="385">
        <f t="shared" si="13"/>
        <v>0</v>
      </c>
      <c r="O24" s="614"/>
      <c r="P24" s="614"/>
      <c r="Q24" s="614"/>
      <c r="R24" s="614"/>
      <c r="S24" s="614"/>
      <c r="T24" s="614"/>
      <c r="U24" s="613">
        <f t="shared" si="4"/>
        <v>0</v>
      </c>
      <c r="V24" s="289"/>
      <c r="W24" s="418">
        <f t="shared" si="15"/>
        <v>0</v>
      </c>
      <c r="X24" s="418">
        <f t="shared" si="16"/>
        <v>0</v>
      </c>
      <c r="Y24" s="418">
        <f t="shared" si="17"/>
        <v>0</v>
      </c>
      <c r="Z24" s="418">
        <f t="shared" si="18"/>
        <v>0</v>
      </c>
      <c r="AA24" s="418">
        <f t="shared" si="19"/>
        <v>0</v>
      </c>
      <c r="AB24" s="418">
        <f t="shared" si="20"/>
        <v>0</v>
      </c>
      <c r="AC24" s="418">
        <f t="shared" si="21"/>
        <v>0</v>
      </c>
      <c r="AD24" s="289" t="b">
        <f t="shared" si="12"/>
        <v>1</v>
      </c>
    </row>
    <row r="25" spans="1:30" ht="19.149999999999999" customHeight="1" outlineLevel="1">
      <c r="A25" s="551"/>
      <c r="B25" s="552"/>
      <c r="C25" s="553"/>
      <c r="D25" s="553"/>
      <c r="E25" s="554"/>
      <c r="F25" s="555"/>
      <c r="G25" s="556"/>
      <c r="H25" s="384">
        <f t="shared" si="14"/>
        <v>0</v>
      </c>
      <c r="I25" s="624"/>
      <c r="J25" s="624"/>
      <c r="K25" s="625"/>
      <c r="L25" s="580">
        <f t="shared" si="2"/>
        <v>0</v>
      </c>
      <c r="M25" s="385">
        <f t="shared" si="13"/>
        <v>0</v>
      </c>
      <c r="O25" s="614"/>
      <c r="P25" s="614"/>
      <c r="Q25" s="614"/>
      <c r="R25" s="614"/>
      <c r="S25" s="614"/>
      <c r="T25" s="614"/>
      <c r="U25" s="613">
        <f t="shared" si="4"/>
        <v>0</v>
      </c>
      <c r="V25" s="289"/>
      <c r="W25" s="418">
        <f t="shared" si="15"/>
        <v>0</v>
      </c>
      <c r="X25" s="418">
        <f t="shared" si="16"/>
        <v>0</v>
      </c>
      <c r="Y25" s="418">
        <f t="shared" si="17"/>
        <v>0</v>
      </c>
      <c r="Z25" s="418">
        <f t="shared" si="18"/>
        <v>0</v>
      </c>
      <c r="AA25" s="418">
        <f t="shared" si="19"/>
        <v>0</v>
      </c>
      <c r="AB25" s="418">
        <f t="shared" si="20"/>
        <v>0</v>
      </c>
      <c r="AC25" s="418">
        <f t="shared" si="21"/>
        <v>0</v>
      </c>
      <c r="AD25" s="289" t="b">
        <f t="shared" si="12"/>
        <v>1</v>
      </c>
    </row>
    <row r="26" spans="1:30" ht="19.149999999999999" customHeight="1" outlineLevel="1">
      <c r="A26" s="551"/>
      <c r="B26" s="552"/>
      <c r="C26" s="553"/>
      <c r="D26" s="553"/>
      <c r="E26" s="554"/>
      <c r="F26" s="555"/>
      <c r="G26" s="556"/>
      <c r="H26" s="384">
        <f t="shared" si="14"/>
        <v>0</v>
      </c>
      <c r="I26" s="624"/>
      <c r="J26" s="624"/>
      <c r="K26" s="625"/>
      <c r="L26" s="580">
        <f t="shared" si="2"/>
        <v>0</v>
      </c>
      <c r="M26" s="385">
        <f t="shared" si="13"/>
        <v>0</v>
      </c>
      <c r="O26" s="614"/>
      <c r="P26" s="614"/>
      <c r="Q26" s="614"/>
      <c r="R26" s="614"/>
      <c r="S26" s="614"/>
      <c r="T26" s="614"/>
      <c r="U26" s="613">
        <f t="shared" si="4"/>
        <v>0</v>
      </c>
      <c r="V26" s="289"/>
      <c r="W26" s="418">
        <f t="shared" si="15"/>
        <v>0</v>
      </c>
      <c r="X26" s="418">
        <f t="shared" si="16"/>
        <v>0</v>
      </c>
      <c r="Y26" s="418">
        <f t="shared" si="17"/>
        <v>0</v>
      </c>
      <c r="Z26" s="418">
        <f t="shared" si="18"/>
        <v>0</v>
      </c>
      <c r="AA26" s="418">
        <f t="shared" si="19"/>
        <v>0</v>
      </c>
      <c r="AB26" s="418">
        <f t="shared" si="20"/>
        <v>0</v>
      </c>
      <c r="AC26" s="418">
        <f t="shared" si="21"/>
        <v>0</v>
      </c>
      <c r="AD26" s="289" t="b">
        <f t="shared" si="12"/>
        <v>1</v>
      </c>
    </row>
    <row r="27" spans="1:30" ht="19.149999999999999" customHeight="1" outlineLevel="1">
      <c r="A27" s="551"/>
      <c r="B27" s="552"/>
      <c r="C27" s="553"/>
      <c r="D27" s="553"/>
      <c r="E27" s="554"/>
      <c r="F27" s="555"/>
      <c r="G27" s="556"/>
      <c r="H27" s="384">
        <f t="shared" si="14"/>
        <v>0</v>
      </c>
      <c r="I27" s="624"/>
      <c r="J27" s="624"/>
      <c r="K27" s="625"/>
      <c r="L27" s="580">
        <f t="shared" si="2"/>
        <v>0</v>
      </c>
      <c r="M27" s="385">
        <f t="shared" si="13"/>
        <v>0</v>
      </c>
      <c r="O27" s="614"/>
      <c r="P27" s="614"/>
      <c r="Q27" s="614"/>
      <c r="R27" s="614"/>
      <c r="S27" s="614"/>
      <c r="T27" s="614"/>
      <c r="U27" s="613">
        <f t="shared" si="4"/>
        <v>0</v>
      </c>
      <c r="V27" s="289"/>
      <c r="W27" s="418">
        <f t="shared" si="15"/>
        <v>0</v>
      </c>
      <c r="X27" s="418">
        <f t="shared" si="16"/>
        <v>0</v>
      </c>
      <c r="Y27" s="418">
        <f t="shared" si="17"/>
        <v>0</v>
      </c>
      <c r="Z27" s="418">
        <f t="shared" si="18"/>
        <v>0</v>
      </c>
      <c r="AA27" s="418">
        <f t="shared" si="19"/>
        <v>0</v>
      </c>
      <c r="AB27" s="418">
        <f t="shared" si="20"/>
        <v>0</v>
      </c>
      <c r="AC27" s="418">
        <f t="shared" si="21"/>
        <v>0</v>
      </c>
      <c r="AD27" s="289" t="b">
        <f t="shared" si="12"/>
        <v>1</v>
      </c>
    </row>
    <row r="28" spans="1:30" ht="19.149999999999999" customHeight="1" outlineLevel="1">
      <c r="A28" s="551"/>
      <c r="B28" s="552"/>
      <c r="C28" s="553"/>
      <c r="D28" s="553"/>
      <c r="E28" s="554"/>
      <c r="F28" s="555"/>
      <c r="G28" s="556"/>
      <c r="H28" s="384">
        <f t="shared" si="14"/>
        <v>0</v>
      </c>
      <c r="I28" s="624"/>
      <c r="J28" s="624"/>
      <c r="K28" s="625"/>
      <c r="L28" s="580">
        <f t="shared" si="2"/>
        <v>0</v>
      </c>
      <c r="M28" s="385">
        <f t="shared" si="13"/>
        <v>0</v>
      </c>
      <c r="O28" s="614"/>
      <c r="P28" s="614"/>
      <c r="Q28" s="614"/>
      <c r="R28" s="614"/>
      <c r="S28" s="614"/>
      <c r="T28" s="614"/>
      <c r="U28" s="613">
        <f t="shared" si="4"/>
        <v>0</v>
      </c>
      <c r="V28" s="289"/>
      <c r="W28" s="418">
        <f t="shared" si="15"/>
        <v>0</v>
      </c>
      <c r="X28" s="418">
        <f t="shared" si="16"/>
        <v>0</v>
      </c>
      <c r="Y28" s="418">
        <f t="shared" si="17"/>
        <v>0</v>
      </c>
      <c r="Z28" s="418">
        <f t="shared" si="18"/>
        <v>0</v>
      </c>
      <c r="AA28" s="418">
        <f t="shared" si="19"/>
        <v>0</v>
      </c>
      <c r="AB28" s="418">
        <f t="shared" si="20"/>
        <v>0</v>
      </c>
      <c r="AC28" s="418">
        <f t="shared" si="21"/>
        <v>0</v>
      </c>
      <c r="AD28" s="289" t="b">
        <f t="shared" si="12"/>
        <v>1</v>
      </c>
    </row>
    <row r="29" spans="1:30" ht="19.149999999999999" customHeight="1" outlineLevel="1">
      <c r="A29" s="551"/>
      <c r="B29" s="552"/>
      <c r="C29" s="553"/>
      <c r="D29" s="553"/>
      <c r="E29" s="554"/>
      <c r="F29" s="555"/>
      <c r="G29" s="556"/>
      <c r="H29" s="384">
        <f t="shared" si="14"/>
        <v>0</v>
      </c>
      <c r="I29" s="624"/>
      <c r="J29" s="624"/>
      <c r="K29" s="625"/>
      <c r="L29" s="580">
        <f t="shared" si="2"/>
        <v>0</v>
      </c>
      <c r="M29" s="385">
        <f t="shared" si="13"/>
        <v>0</v>
      </c>
      <c r="O29" s="614"/>
      <c r="P29" s="614"/>
      <c r="Q29" s="614"/>
      <c r="R29" s="614"/>
      <c r="S29" s="614"/>
      <c r="T29" s="614"/>
      <c r="U29" s="613">
        <f t="shared" si="4"/>
        <v>0</v>
      </c>
      <c r="V29" s="289"/>
      <c r="W29" s="418">
        <f t="shared" si="15"/>
        <v>0</v>
      </c>
      <c r="X29" s="418">
        <f t="shared" si="16"/>
        <v>0</v>
      </c>
      <c r="Y29" s="418">
        <f t="shared" si="17"/>
        <v>0</v>
      </c>
      <c r="Z29" s="418">
        <f t="shared" si="18"/>
        <v>0</v>
      </c>
      <c r="AA29" s="418">
        <f t="shared" si="19"/>
        <v>0</v>
      </c>
      <c r="AB29" s="418">
        <f t="shared" si="20"/>
        <v>0</v>
      </c>
      <c r="AC29" s="418">
        <f t="shared" si="21"/>
        <v>0</v>
      </c>
      <c r="AD29" s="289" t="b">
        <f t="shared" si="12"/>
        <v>1</v>
      </c>
    </row>
    <row r="30" spans="1:30" ht="19.149999999999999" customHeight="1" outlineLevel="1">
      <c r="A30" s="386"/>
      <c r="B30" s="387"/>
      <c r="C30" s="393"/>
      <c r="D30" s="553"/>
      <c r="E30" s="394"/>
      <c r="F30" s="389"/>
      <c r="G30" s="383"/>
      <c r="H30" s="384">
        <f t="shared" si="14"/>
        <v>0</v>
      </c>
      <c r="I30" s="622"/>
      <c r="J30" s="622"/>
      <c r="K30" s="623"/>
      <c r="L30" s="580">
        <f t="shared" si="2"/>
        <v>0</v>
      </c>
      <c r="M30" s="385">
        <f t="shared" si="13"/>
        <v>0</v>
      </c>
      <c r="O30" s="612"/>
      <c r="P30" s="612"/>
      <c r="Q30" s="612"/>
      <c r="R30" s="612"/>
      <c r="S30" s="612"/>
      <c r="T30" s="612"/>
      <c r="U30" s="613">
        <f t="shared" si="4"/>
        <v>0</v>
      </c>
      <c r="V30" s="289"/>
      <c r="W30" s="418">
        <f t="shared" si="5"/>
        <v>0</v>
      </c>
      <c r="X30" s="418">
        <f t="shared" si="6"/>
        <v>0</v>
      </c>
      <c r="Y30" s="418">
        <f t="shared" si="7"/>
        <v>0</v>
      </c>
      <c r="Z30" s="418">
        <f t="shared" si="8"/>
        <v>0</v>
      </c>
      <c r="AA30" s="418">
        <f t="shared" si="9"/>
        <v>0</v>
      </c>
      <c r="AB30" s="418">
        <f t="shared" si="10"/>
        <v>0</v>
      </c>
      <c r="AC30" s="418">
        <f t="shared" si="11"/>
        <v>0</v>
      </c>
      <c r="AD30" s="289" t="b">
        <f t="shared" si="12"/>
        <v>1</v>
      </c>
    </row>
    <row r="31" spans="1:30" ht="19.149999999999999" customHeight="1" outlineLevel="1">
      <c r="A31" s="386"/>
      <c r="B31" s="387"/>
      <c r="C31" s="393"/>
      <c r="D31" s="553"/>
      <c r="E31" s="394"/>
      <c r="F31" s="389"/>
      <c r="G31" s="383"/>
      <c r="H31" s="384">
        <f t="shared" si="14"/>
        <v>0</v>
      </c>
      <c r="I31" s="622"/>
      <c r="J31" s="622"/>
      <c r="K31" s="623"/>
      <c r="L31" s="580">
        <f t="shared" si="2"/>
        <v>0</v>
      </c>
      <c r="M31" s="385">
        <f t="shared" si="13"/>
        <v>0</v>
      </c>
      <c r="O31" s="612"/>
      <c r="P31" s="612"/>
      <c r="Q31" s="612"/>
      <c r="R31" s="612"/>
      <c r="S31" s="612"/>
      <c r="T31" s="612"/>
      <c r="U31" s="613">
        <f t="shared" si="4"/>
        <v>0</v>
      </c>
      <c r="V31" s="289"/>
      <c r="W31" s="418">
        <f t="shared" si="5"/>
        <v>0</v>
      </c>
      <c r="X31" s="418">
        <f t="shared" si="6"/>
        <v>0</v>
      </c>
      <c r="Y31" s="418">
        <f t="shared" si="7"/>
        <v>0</v>
      </c>
      <c r="Z31" s="418">
        <f t="shared" si="8"/>
        <v>0</v>
      </c>
      <c r="AA31" s="418">
        <f t="shared" si="9"/>
        <v>0</v>
      </c>
      <c r="AB31" s="418">
        <f t="shared" si="10"/>
        <v>0</v>
      </c>
      <c r="AC31" s="418">
        <f t="shared" si="11"/>
        <v>0</v>
      </c>
      <c r="AD31" s="289" t="b">
        <f t="shared" si="12"/>
        <v>1</v>
      </c>
    </row>
    <row r="32" spans="1:30" ht="19.149999999999999" customHeight="1" outlineLevel="1">
      <c r="A32" s="386"/>
      <c r="B32" s="387"/>
      <c r="C32" s="393"/>
      <c r="D32" s="553"/>
      <c r="E32" s="394"/>
      <c r="F32" s="389"/>
      <c r="G32" s="383"/>
      <c r="H32" s="384">
        <f t="shared" si="1"/>
        <v>0</v>
      </c>
      <c r="I32" s="622"/>
      <c r="J32" s="622"/>
      <c r="K32" s="623"/>
      <c r="L32" s="580">
        <f t="shared" si="2"/>
        <v>0</v>
      </c>
      <c r="M32" s="385">
        <f t="shared" si="3"/>
        <v>0</v>
      </c>
      <c r="O32" s="612"/>
      <c r="P32" s="612"/>
      <c r="Q32" s="612"/>
      <c r="R32" s="612"/>
      <c r="S32" s="612"/>
      <c r="T32" s="612"/>
      <c r="U32" s="613">
        <f t="shared" si="4"/>
        <v>0</v>
      </c>
      <c r="V32" s="289"/>
      <c r="W32" s="418">
        <f t="shared" si="5"/>
        <v>0</v>
      </c>
      <c r="X32" s="418">
        <f t="shared" si="6"/>
        <v>0</v>
      </c>
      <c r="Y32" s="418">
        <f t="shared" si="7"/>
        <v>0</v>
      </c>
      <c r="Z32" s="418">
        <f t="shared" si="8"/>
        <v>0</v>
      </c>
      <c r="AA32" s="418">
        <f t="shared" si="9"/>
        <v>0</v>
      </c>
      <c r="AB32" s="418">
        <f t="shared" si="10"/>
        <v>0</v>
      </c>
      <c r="AC32" s="418">
        <f t="shared" si="11"/>
        <v>0</v>
      </c>
      <c r="AD32" s="289" t="b">
        <f t="shared" si="12"/>
        <v>1</v>
      </c>
    </row>
    <row r="33" spans="1:30" ht="19.149999999999999" customHeight="1" outlineLevel="1">
      <c r="A33" s="386"/>
      <c r="B33" s="390"/>
      <c r="C33" s="393"/>
      <c r="D33" s="553"/>
      <c r="E33" s="394"/>
      <c r="F33" s="389"/>
      <c r="G33" s="383"/>
      <c r="H33" s="384">
        <f t="shared" si="1"/>
        <v>0</v>
      </c>
      <c r="I33" s="622"/>
      <c r="J33" s="622"/>
      <c r="K33" s="623"/>
      <c r="L33" s="580">
        <f t="shared" si="2"/>
        <v>0</v>
      </c>
      <c r="M33" s="385">
        <f>K33*L33</f>
        <v>0</v>
      </c>
      <c r="O33" s="612"/>
      <c r="P33" s="612"/>
      <c r="Q33" s="612"/>
      <c r="R33" s="612"/>
      <c r="S33" s="612"/>
      <c r="T33" s="612"/>
      <c r="U33" s="613">
        <f t="shared" si="4"/>
        <v>0</v>
      </c>
      <c r="V33" s="289"/>
      <c r="W33" s="418">
        <f t="shared" si="5"/>
        <v>0</v>
      </c>
      <c r="X33" s="418">
        <f t="shared" si="6"/>
        <v>0</v>
      </c>
      <c r="Y33" s="418">
        <f t="shared" si="7"/>
        <v>0</v>
      </c>
      <c r="Z33" s="418">
        <f t="shared" si="8"/>
        <v>0</v>
      </c>
      <c r="AA33" s="418">
        <f t="shared" si="9"/>
        <v>0</v>
      </c>
      <c r="AB33" s="418">
        <f t="shared" si="10"/>
        <v>0</v>
      </c>
      <c r="AC33" s="418">
        <f t="shared" si="11"/>
        <v>0</v>
      </c>
      <c r="AD33" s="289" t="b">
        <f t="shared" si="12"/>
        <v>1</v>
      </c>
    </row>
    <row r="34" spans="1:30" ht="19.149999999999999" customHeight="1" outlineLevel="1">
      <c r="A34" s="395"/>
      <c r="B34" s="396"/>
      <c r="C34" s="397"/>
      <c r="D34" s="559"/>
      <c r="E34" s="398"/>
      <c r="F34" s="389"/>
      <c r="G34" s="399"/>
      <c r="H34" s="384">
        <f t="shared" si="1"/>
        <v>0</v>
      </c>
      <c r="I34" s="622"/>
      <c r="J34" s="622"/>
      <c r="K34" s="622"/>
      <c r="L34" s="580">
        <f t="shared" si="2"/>
        <v>0</v>
      </c>
      <c r="M34" s="385">
        <f t="shared" ref="M34" si="22">K34*L34</f>
        <v>0</v>
      </c>
      <c r="O34" s="612"/>
      <c r="P34" s="612"/>
      <c r="Q34" s="612"/>
      <c r="R34" s="612"/>
      <c r="S34" s="612"/>
      <c r="T34" s="612"/>
      <c r="U34" s="613">
        <f t="shared" si="4"/>
        <v>0</v>
      </c>
      <c r="V34" s="289"/>
      <c r="W34" s="418">
        <f t="shared" si="5"/>
        <v>0</v>
      </c>
      <c r="X34" s="418">
        <f t="shared" si="6"/>
        <v>0</v>
      </c>
      <c r="Y34" s="418">
        <f t="shared" si="7"/>
        <v>0</v>
      </c>
      <c r="Z34" s="418">
        <f t="shared" si="8"/>
        <v>0</v>
      </c>
      <c r="AA34" s="418">
        <f t="shared" si="9"/>
        <v>0</v>
      </c>
      <c r="AB34" s="418">
        <f t="shared" si="10"/>
        <v>0</v>
      </c>
      <c r="AC34" s="418">
        <f t="shared" si="11"/>
        <v>0</v>
      </c>
      <c r="AD34" s="289" t="b">
        <f t="shared" si="12"/>
        <v>1</v>
      </c>
    </row>
    <row r="35" spans="1:30" ht="15.75" thickBot="1">
      <c r="A35" s="289"/>
      <c r="B35" s="289"/>
      <c r="C35" s="442" t="s">
        <v>25</v>
      </c>
      <c r="D35" s="442"/>
      <c r="E35" s="400">
        <f>SUM(E7:E34)</f>
        <v>0</v>
      </c>
      <c r="F35" s="401">
        <f>SUM(F7:F34)</f>
        <v>0</v>
      </c>
      <c r="G35" s="402"/>
      <c r="H35" s="401">
        <f>SUM(H7:H34)</f>
        <v>0</v>
      </c>
      <c r="I35" s="403"/>
      <c r="J35" s="403"/>
      <c r="K35" s="403"/>
      <c r="L35" s="403"/>
      <c r="M35" s="401">
        <f>SUM(M7:M34)</f>
        <v>0</v>
      </c>
      <c r="P35" s="404"/>
      <c r="W35" s="400">
        <f t="shared" ref="W35:AC35" si="23">SUM(W7:W34)</f>
        <v>0</v>
      </c>
      <c r="X35" s="401">
        <f t="shared" si="23"/>
        <v>0</v>
      </c>
      <c r="Y35" s="400">
        <f t="shared" si="23"/>
        <v>0</v>
      </c>
      <c r="Z35" s="401">
        <f t="shared" si="23"/>
        <v>0</v>
      </c>
      <c r="AA35" s="400">
        <f t="shared" si="23"/>
        <v>0</v>
      </c>
      <c r="AB35" s="401">
        <f t="shared" si="23"/>
        <v>0</v>
      </c>
      <c r="AC35" s="401">
        <f t="shared" si="23"/>
        <v>0</v>
      </c>
    </row>
    <row r="36" spans="1:30" ht="12.75" thickTop="1"/>
    <row r="37" spans="1:30" s="579" customFormat="1"/>
    <row r="38" spans="1:30" s="579" customFormat="1"/>
    <row r="39" spans="1:30" s="579" customFormat="1"/>
    <row r="40" spans="1:30" s="579" customFormat="1"/>
    <row r="41" spans="1:30" s="579" customFormat="1"/>
    <row r="42" spans="1:30" s="579" customFormat="1"/>
    <row r="43" spans="1:30" s="579" customFormat="1"/>
    <row r="44" spans="1:30" s="579" customFormat="1"/>
    <row r="45" spans="1:30" s="579" customFormat="1"/>
    <row r="46" spans="1:30" s="579" customFormat="1"/>
    <row r="47" spans="1:30" s="579" customFormat="1"/>
    <row r="48" spans="1:30" s="579" customFormat="1"/>
    <row r="49" s="579" customFormat="1"/>
    <row r="50" s="579" customFormat="1"/>
    <row r="51" s="579" customFormat="1"/>
    <row r="52" s="579" customFormat="1"/>
    <row r="53" s="579" customFormat="1"/>
    <row r="54" s="579" customFormat="1"/>
    <row r="55" s="579" customFormat="1"/>
    <row r="56" s="579" customFormat="1"/>
    <row r="57" s="579" customFormat="1"/>
    <row r="58" s="579" customFormat="1"/>
    <row r="59" s="579" customFormat="1"/>
    <row r="60" s="579" customFormat="1"/>
    <row r="61" s="579" customFormat="1"/>
    <row r="62" s="579" customFormat="1"/>
    <row r="63" s="579" customFormat="1"/>
    <row r="64" s="579" customFormat="1"/>
    <row r="65" s="579" customFormat="1"/>
    <row r="66" s="579" customFormat="1"/>
    <row r="67" s="579" customFormat="1"/>
    <row r="68" s="579" customFormat="1"/>
    <row r="69" s="579" customFormat="1"/>
    <row r="70" s="579" customFormat="1"/>
    <row r="71" s="579" customFormat="1"/>
    <row r="72" s="579" customFormat="1"/>
    <row r="73" s="579" customFormat="1"/>
    <row r="74" s="579" customFormat="1"/>
    <row r="75" s="579" customFormat="1"/>
    <row r="76" s="579" customFormat="1"/>
    <row r="77" s="579" customFormat="1"/>
    <row r="78" s="579" customFormat="1"/>
    <row r="79" s="579" customFormat="1"/>
    <row r="80" s="579" customFormat="1"/>
    <row r="81" s="579" customFormat="1"/>
    <row r="82" s="579" customFormat="1"/>
    <row r="83" s="579" customFormat="1"/>
    <row r="84" s="579" customFormat="1"/>
    <row r="85" s="579" customFormat="1"/>
    <row r="86" s="579" customFormat="1"/>
    <row r="87" s="579" customFormat="1"/>
    <row r="88" s="579" customFormat="1"/>
    <row r="89" s="579" customFormat="1"/>
    <row r="90" s="579" customFormat="1"/>
    <row r="91" s="579" customFormat="1"/>
    <row r="92" s="579" customFormat="1"/>
    <row r="93" s="579" customFormat="1"/>
    <row r="94" s="579" customFormat="1"/>
    <row r="95" s="579" customFormat="1"/>
    <row r="96" s="579" customFormat="1"/>
    <row r="97" s="579" customFormat="1"/>
    <row r="98" s="579" customFormat="1"/>
    <row r="99" s="579" customFormat="1"/>
    <row r="100" s="579" customFormat="1"/>
    <row r="101" s="579" customFormat="1"/>
    <row r="102" s="579" customFormat="1"/>
    <row r="103" s="579" customFormat="1"/>
    <row r="104" s="579" customFormat="1"/>
    <row r="105" s="579" customFormat="1"/>
    <row r="106" s="579" customFormat="1"/>
    <row r="107" s="579" customFormat="1"/>
    <row r="108" s="579" customFormat="1"/>
    <row r="109" s="579" customFormat="1"/>
    <row r="110" s="579" customFormat="1"/>
    <row r="111" s="579" customFormat="1"/>
    <row r="112" s="579" customFormat="1"/>
    <row r="113" s="579" customFormat="1"/>
    <row r="114" s="579" customFormat="1"/>
    <row r="115" s="579" customFormat="1"/>
    <row r="116" s="579" customFormat="1"/>
  </sheetData>
  <protectedRanges>
    <protectedRange sqref="A7:A33" name="Data Input2"/>
    <protectedRange sqref="B7:B32" name="Data Input2_1"/>
    <protectedRange sqref="C7:D33" name="Data Input2_2"/>
    <protectedRange sqref="E7:E33" name="Data Input2_3"/>
    <protectedRange sqref="I7:I33" name="Data Input2_4"/>
    <protectedRange sqref="J7:J33" name="Data Input2_6"/>
    <protectedRange sqref="K7:K33" name="Data Input2_7"/>
  </protectedRanges>
  <mergeCells count="30">
    <mergeCell ref="H5:H6"/>
    <mergeCell ref="D5:D6"/>
    <mergeCell ref="A5:B5"/>
    <mergeCell ref="C5:C6"/>
    <mergeCell ref="E5:E6"/>
    <mergeCell ref="F5:F6"/>
    <mergeCell ref="G5:G6"/>
    <mergeCell ref="W5:W6"/>
    <mergeCell ref="I5:I6"/>
    <mergeCell ref="J5:J6"/>
    <mergeCell ref="K5:K6"/>
    <mergeCell ref="L5:L6"/>
    <mergeCell ref="M5:M6"/>
    <mergeCell ref="O5:O6"/>
    <mergeCell ref="AC5:AC6"/>
    <mergeCell ref="AD5:AD6"/>
    <mergeCell ref="W4:AC4"/>
    <mergeCell ref="O4:U4"/>
    <mergeCell ref="A4:M4"/>
    <mergeCell ref="X5:X6"/>
    <mergeCell ref="Y5:Y6"/>
    <mergeCell ref="Z5:Z6"/>
    <mergeCell ref="AA5:AA6"/>
    <mergeCell ref="AB5:AB6"/>
    <mergeCell ref="U5:U6"/>
    <mergeCell ref="P5:P6"/>
    <mergeCell ref="Q5:Q6"/>
    <mergeCell ref="R5:R6"/>
    <mergeCell ref="S5:S6"/>
    <mergeCell ref="T5:T6"/>
  </mergeCells>
  <conditionalFormatting sqref="U7:U34">
    <cfRule type="cellIs" dxfId="1" priority="4" operator="greaterThan">
      <formula>1</formula>
    </cfRule>
  </conditionalFormatting>
  <conditionalFormatting sqref="AD7:AD34">
    <cfRule type="cellIs" dxfId="0" priority="1" operator="equal">
      <formula>FALSE</formula>
    </cfRule>
  </conditionalFormatting>
  <dataValidations count="2">
    <dataValidation type="list" allowBlank="1" showInputMessage="1" showErrorMessage="1" sqref="D7:D34" xr:uid="{AAA7EF8A-0C2D-4B6B-991D-2B6E2DB8C336}">
      <formula1>"Current Equipment, New Equipment"</formula1>
    </dataValidation>
    <dataValidation allowBlank="1" showInputMessage="1" showErrorMessage="1" prompt="This column will be used to populate the appropriate rates in the Rate Summary tab." sqref="D5:D6" xr:uid="{69B10608-ECDA-4939-BCB0-75D651EEEFCC}"/>
  </dataValidations>
  <pageMargins left="0.7" right="0.7" top="0.75" bottom="0.75" header="0.3" footer="0.3"/>
  <pageSetup scale="78" fitToHeight="0" orientation="landscape" r:id="rId1"/>
  <ignoredErrors>
    <ignoredError sqref="L7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F93"/>
  <sheetViews>
    <sheetView showGridLines="0" zoomScale="85" zoomScaleNormal="85" workbookViewId="0">
      <pane ySplit="8" topLeftCell="A20" activePane="bottomLeft" state="frozen"/>
      <selection pane="bottomLeft" activeCell="E34" sqref="E34"/>
    </sheetView>
  </sheetViews>
  <sheetFormatPr defaultRowHeight="15"/>
  <cols>
    <col min="1" max="1" width="43.5703125" bestFit="1" customWidth="1"/>
    <col min="2" max="7" width="16.140625" customWidth="1"/>
    <col min="8" max="8" width="11.28515625" customWidth="1"/>
    <col min="9" max="9" width="2.140625" customWidth="1"/>
    <col min="10" max="10" width="35.5703125" bestFit="1" customWidth="1"/>
    <col min="11" max="11" width="11.5703125" customWidth="1"/>
    <col min="12" max="16" width="11.5703125" style="167" customWidth="1"/>
    <col min="17" max="17" width="13.140625" style="167" customWidth="1"/>
    <col min="18" max="18" width="3.5703125" style="167" customWidth="1"/>
    <col min="19" max="24" width="14.28515625" style="167" customWidth="1"/>
    <col min="25" max="32" width="8.85546875" style="167"/>
  </cols>
  <sheetData>
    <row r="1" spans="1:32" ht="15.75">
      <c r="A1" s="336" t="s">
        <v>470</v>
      </c>
    </row>
    <row r="2" spans="1:32" ht="15.75">
      <c r="A2" s="336" t="s">
        <v>542</v>
      </c>
    </row>
    <row r="3" spans="1:32">
      <c r="A3" s="351" t="s">
        <v>446</v>
      </c>
      <c r="B3" s="347">
        <v>45108</v>
      </c>
      <c r="C3" s="287" t="s">
        <v>406</v>
      </c>
      <c r="D3" s="347">
        <v>45473</v>
      </c>
      <c r="I3" s="167"/>
      <c r="J3" s="167"/>
      <c r="K3" s="167"/>
      <c r="X3"/>
      <c r="Y3"/>
      <c r="Z3"/>
      <c r="AA3"/>
      <c r="AB3"/>
      <c r="AC3"/>
      <c r="AD3"/>
      <c r="AE3"/>
      <c r="AF3"/>
    </row>
    <row r="4" spans="1:32" ht="15.75">
      <c r="A4" s="302"/>
      <c r="I4" s="16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/>
      <c r="AA4"/>
      <c r="AB4"/>
      <c r="AC4"/>
      <c r="AD4"/>
      <c r="AE4"/>
      <c r="AF4"/>
    </row>
    <row r="5" spans="1:32">
      <c r="A5" s="657" t="s">
        <v>124</v>
      </c>
      <c r="B5" s="657"/>
      <c r="C5" s="657"/>
      <c r="D5" s="657"/>
      <c r="E5" s="657"/>
      <c r="F5" s="657"/>
      <c r="G5" s="657"/>
      <c r="H5" s="657"/>
      <c r="I5" s="167"/>
      <c r="J5" s="657" t="s">
        <v>124</v>
      </c>
      <c r="K5" s="657"/>
      <c r="L5" s="657"/>
      <c r="M5" s="657"/>
      <c r="N5" s="657"/>
      <c r="O5" s="657"/>
      <c r="P5" s="657"/>
      <c r="Q5" s="657"/>
      <c r="X5"/>
      <c r="Y5"/>
      <c r="Z5"/>
      <c r="AA5"/>
      <c r="AB5"/>
      <c r="AC5"/>
      <c r="AD5"/>
      <c r="AE5"/>
      <c r="AF5"/>
    </row>
    <row r="6" spans="1:32">
      <c r="A6" s="657" t="str">
        <f>Summary!C3</f>
        <v>Select Recharge Unit</v>
      </c>
      <c r="B6" s="657"/>
      <c r="C6" s="657"/>
      <c r="D6" s="657"/>
      <c r="E6" s="657"/>
      <c r="F6" s="657"/>
      <c r="G6" s="657"/>
      <c r="H6" s="657"/>
      <c r="I6" s="167"/>
      <c r="J6" s="657" t="str">
        <f>Summary!C3</f>
        <v>Select Recharge Unit</v>
      </c>
      <c r="K6" s="657"/>
      <c r="L6" s="657"/>
      <c r="M6" s="657"/>
      <c r="N6" s="657"/>
      <c r="O6" s="657"/>
      <c r="P6" s="657"/>
      <c r="Q6" s="657"/>
      <c r="T6" s="626" t="s">
        <v>565</v>
      </c>
      <c r="U6" s="627" t="s">
        <v>566</v>
      </c>
      <c r="X6"/>
      <c r="Y6"/>
      <c r="Z6"/>
      <c r="AA6"/>
      <c r="AB6"/>
      <c r="AC6"/>
      <c r="AD6"/>
      <c r="AE6"/>
      <c r="AF6"/>
    </row>
    <row r="7" spans="1:32">
      <c r="A7" s="657" t="str">
        <f>"Actual "&amp;A2&amp;" Income Statement"</f>
        <v>Actual FY 2023-24 Income Statement</v>
      </c>
      <c r="B7" s="657"/>
      <c r="C7" s="657"/>
      <c r="D7" s="657"/>
      <c r="E7" s="657"/>
      <c r="F7" s="657"/>
      <c r="G7" s="657"/>
      <c r="H7" s="657"/>
      <c r="I7" s="167"/>
      <c r="J7" s="689" t="str">
        <f>"Prior Year Rate Submission Projected B2A"</f>
        <v>Prior Year Rate Submission Projected B2A</v>
      </c>
      <c r="K7" s="689"/>
      <c r="L7" s="689"/>
      <c r="M7" s="689"/>
      <c r="N7" s="689"/>
      <c r="O7" s="689"/>
      <c r="P7" s="689"/>
      <c r="Q7" s="689"/>
      <c r="S7" s="292"/>
      <c r="T7" s="292"/>
      <c r="U7" s="292"/>
      <c r="V7" s="292"/>
      <c r="W7" s="292"/>
      <c r="X7" s="292"/>
      <c r="Y7" s="292"/>
      <c r="Z7"/>
      <c r="AA7"/>
      <c r="AB7"/>
      <c r="AC7"/>
      <c r="AD7"/>
      <c r="AE7"/>
      <c r="AF7"/>
    </row>
    <row r="8" spans="1:32">
      <c r="A8" s="691" t="s">
        <v>402</v>
      </c>
      <c r="B8" s="692"/>
      <c r="C8" s="692"/>
      <c r="D8" s="692"/>
      <c r="E8" s="692"/>
      <c r="F8" s="692"/>
      <c r="G8" s="692"/>
      <c r="H8" s="693"/>
      <c r="I8" s="167"/>
      <c r="J8" s="648" t="str">
        <f>"PRIOR YEAR PROJECTED REVENUE AND EXPENSES FOR "&amp;A2</f>
        <v>PRIOR YEAR PROJECTED REVENUE AND EXPENSES FOR FY 2023-24</v>
      </c>
      <c r="K8" s="649"/>
      <c r="L8" s="649"/>
      <c r="M8" s="649"/>
      <c r="N8" s="649"/>
      <c r="O8" s="649"/>
      <c r="P8" s="649"/>
      <c r="Q8" s="650"/>
      <c r="S8" s="686" t="s">
        <v>564</v>
      </c>
      <c r="T8" s="687"/>
      <c r="U8" s="687"/>
      <c r="V8" s="687"/>
      <c r="W8" s="687"/>
      <c r="X8" s="687"/>
      <c r="Y8" s="687"/>
      <c r="Z8"/>
      <c r="AA8"/>
      <c r="AB8"/>
      <c r="AC8"/>
      <c r="AD8"/>
      <c r="AE8"/>
      <c r="AF8"/>
    </row>
    <row r="9" spans="1:32">
      <c r="A9" s="690" t="s">
        <v>401</v>
      </c>
      <c r="B9" s="337" t="s">
        <v>389</v>
      </c>
      <c r="C9" s="337" t="s">
        <v>390</v>
      </c>
      <c r="D9" s="337" t="s">
        <v>391</v>
      </c>
      <c r="E9" s="337" t="s">
        <v>392</v>
      </c>
      <c r="F9" s="337" t="s">
        <v>393</v>
      </c>
      <c r="G9" s="337" t="s">
        <v>410</v>
      </c>
      <c r="H9" s="688" t="s">
        <v>25</v>
      </c>
      <c r="I9" s="167"/>
      <c r="J9" s="690" t="s">
        <v>401</v>
      </c>
      <c r="K9" s="337" t="s">
        <v>389</v>
      </c>
      <c r="L9" s="337" t="s">
        <v>390</v>
      </c>
      <c r="M9" s="337" t="s">
        <v>391</v>
      </c>
      <c r="N9" s="337" t="s">
        <v>392</v>
      </c>
      <c r="O9" s="337" t="s">
        <v>393</v>
      </c>
      <c r="P9" s="337" t="s">
        <v>410</v>
      </c>
      <c r="Q9" s="688" t="s">
        <v>25</v>
      </c>
      <c r="S9" s="337" t="s">
        <v>389</v>
      </c>
      <c r="T9" s="337" t="s">
        <v>390</v>
      </c>
      <c r="U9" s="337" t="s">
        <v>391</v>
      </c>
      <c r="V9" s="337" t="s">
        <v>392</v>
      </c>
      <c r="W9" s="337" t="s">
        <v>393</v>
      </c>
      <c r="X9" s="337" t="s">
        <v>410</v>
      </c>
      <c r="Y9" s="688" t="s">
        <v>25</v>
      </c>
      <c r="Z9"/>
      <c r="AA9"/>
      <c r="AB9"/>
      <c r="AC9"/>
      <c r="AD9"/>
      <c r="AE9"/>
      <c r="AF9"/>
    </row>
    <row r="10" spans="1:32" ht="30">
      <c r="A10" s="690"/>
      <c r="B10" s="329" t="str">
        <f>'Productive Hours'!$Q$4</f>
        <v>Ex: Per Acre</v>
      </c>
      <c r="C10" s="329" t="str">
        <f>'Productive Hours'!$Q$5</f>
        <v>Ex: Ground Prep Acre</v>
      </c>
      <c r="D10" s="329" t="str">
        <f>'Productive Hours'!$Q$6</f>
        <v>Ex: Direct Research</v>
      </c>
      <c r="E10" s="329" t="str">
        <f>'Productive Hours'!$Q$7</f>
        <v>Ex: Other Type</v>
      </c>
      <c r="F10" s="329" t="str">
        <f>'Productive Hours'!$Q$8</f>
        <v>Ex: Other Type 1</v>
      </c>
      <c r="G10" s="329" t="str">
        <f>'Productive Hours'!$Q$9</f>
        <v>Ex: Other Type 2</v>
      </c>
      <c r="H10" s="688"/>
      <c r="I10" s="167"/>
      <c r="J10" s="690"/>
      <c r="K10" s="329" t="str">
        <f>'Productive Hours'!$Q$4</f>
        <v>Ex: Per Acre</v>
      </c>
      <c r="L10" s="329" t="str">
        <f>'Productive Hours'!$Q$5</f>
        <v>Ex: Ground Prep Acre</v>
      </c>
      <c r="M10" s="329" t="str">
        <f>'Productive Hours'!$Q$6</f>
        <v>Ex: Direct Research</v>
      </c>
      <c r="N10" s="329" t="str">
        <f>'Productive Hours'!$Q$7</f>
        <v>Ex: Other Type</v>
      </c>
      <c r="O10" s="329" t="str">
        <f>'Productive Hours'!$Q$8</f>
        <v>Ex: Other Type 1</v>
      </c>
      <c r="P10" s="329" t="str">
        <f>'Productive Hours'!$Q$9</f>
        <v>Ex: Other Type 2</v>
      </c>
      <c r="Q10" s="688"/>
      <c r="S10" s="329" t="str">
        <f>'Productive Hours'!$Q$4</f>
        <v>Ex: Per Acre</v>
      </c>
      <c r="T10" s="329" t="str">
        <f>'Productive Hours'!$Q$5</f>
        <v>Ex: Ground Prep Acre</v>
      </c>
      <c r="U10" s="329" t="str">
        <f>'Productive Hours'!$Q$6</f>
        <v>Ex: Direct Research</v>
      </c>
      <c r="V10" s="329" t="str">
        <f>'Productive Hours'!$Q$7</f>
        <v>Ex: Other Type</v>
      </c>
      <c r="W10" s="329" t="str">
        <f>'Productive Hours'!$Q$8</f>
        <v>Ex: Other Type 1</v>
      </c>
      <c r="X10" s="329" t="str">
        <f>'Productive Hours'!$Q$9</f>
        <v>Ex: Other Type 2</v>
      </c>
      <c r="Y10" s="688"/>
      <c r="Z10"/>
      <c r="AA10"/>
      <c r="AB10"/>
      <c r="AC10"/>
      <c r="AD10"/>
      <c r="AE10"/>
      <c r="AF10"/>
    </row>
    <row r="11" spans="1:32">
      <c r="A11" s="309" t="s">
        <v>388</v>
      </c>
      <c r="B11" s="346"/>
      <c r="C11" s="346"/>
      <c r="D11" s="346"/>
      <c r="E11" s="346"/>
      <c r="F11" s="346"/>
      <c r="G11" s="346"/>
      <c r="H11" s="353">
        <f>SUM(B11:G11)</f>
        <v>0</v>
      </c>
      <c r="I11" s="167"/>
      <c r="J11" s="338" t="s">
        <v>388</v>
      </c>
      <c r="K11" s="346"/>
      <c r="L11" s="346"/>
      <c r="M11" s="346"/>
      <c r="N11" s="346"/>
      <c r="O11" s="346"/>
      <c r="P11" s="346"/>
      <c r="Q11" s="310">
        <f>SUM(K11:P11)</f>
        <v>0</v>
      </c>
      <c r="S11" s="641">
        <f>IFERROR(IF($U$6="% Var",K11/B11,K11-B11),)</f>
        <v>0</v>
      </c>
      <c r="T11" s="641">
        <f t="shared" ref="T11:Y14" si="0">IFERROR(IF($U$6="% Var",L11/C11,L11-C11),)</f>
        <v>0</v>
      </c>
      <c r="U11" s="641">
        <f t="shared" si="0"/>
        <v>0</v>
      </c>
      <c r="V11" s="641">
        <f t="shared" si="0"/>
        <v>0</v>
      </c>
      <c r="W11" s="641">
        <f t="shared" si="0"/>
        <v>0</v>
      </c>
      <c r="X11" s="641">
        <f t="shared" si="0"/>
        <v>0</v>
      </c>
      <c r="Y11" s="641">
        <f t="shared" si="0"/>
        <v>0</v>
      </c>
      <c r="Z11"/>
      <c r="AA11"/>
      <c r="AB11"/>
      <c r="AC11"/>
      <c r="AD11"/>
      <c r="AE11"/>
      <c r="AF11"/>
    </row>
    <row r="12" spans="1:32">
      <c r="A12" s="309" t="s">
        <v>396</v>
      </c>
      <c r="B12" s="346"/>
      <c r="C12" s="346"/>
      <c r="D12" s="346"/>
      <c r="E12" s="346"/>
      <c r="F12" s="346"/>
      <c r="G12" s="346"/>
      <c r="H12" s="353">
        <f>SUM(B12:G12)</f>
        <v>0</v>
      </c>
      <c r="I12" s="167"/>
      <c r="J12" s="338" t="s">
        <v>396</v>
      </c>
      <c r="K12" s="346"/>
      <c r="L12" s="346"/>
      <c r="M12" s="346"/>
      <c r="N12" s="346"/>
      <c r="O12" s="346"/>
      <c r="P12" s="346"/>
      <c r="Q12" s="310">
        <f>SUM(K12:P12)</f>
        <v>0</v>
      </c>
      <c r="S12" s="641">
        <f t="shared" ref="S12:S14" si="1">IFERROR(IF($U$6="% Var",K12/B12,K12-B12),)</f>
        <v>0</v>
      </c>
      <c r="T12" s="641">
        <f t="shared" si="0"/>
        <v>0</v>
      </c>
      <c r="U12" s="641">
        <f t="shared" si="0"/>
        <v>0</v>
      </c>
      <c r="V12" s="641">
        <f t="shared" si="0"/>
        <v>0</v>
      </c>
      <c r="W12" s="641">
        <f t="shared" si="0"/>
        <v>0</v>
      </c>
      <c r="X12" s="641">
        <f t="shared" si="0"/>
        <v>0</v>
      </c>
      <c r="Y12" s="641">
        <f t="shared" si="0"/>
        <v>0</v>
      </c>
      <c r="Z12"/>
      <c r="AA12"/>
      <c r="AB12"/>
      <c r="AC12"/>
      <c r="AD12"/>
      <c r="AE12"/>
      <c r="AF12"/>
    </row>
    <row r="13" spans="1:32">
      <c r="A13" s="409" t="s">
        <v>533</v>
      </c>
      <c r="B13" s="585"/>
      <c r="C13" s="585"/>
      <c r="D13" s="585"/>
      <c r="E13" s="585"/>
      <c r="F13" s="585"/>
      <c r="G13" s="585"/>
      <c r="H13" s="353">
        <f>SUM(B13:G13)</f>
        <v>0</v>
      </c>
      <c r="I13" s="167"/>
      <c r="J13" s="587" t="s">
        <v>533</v>
      </c>
      <c r="K13" s="585"/>
      <c r="L13" s="585"/>
      <c r="M13" s="585"/>
      <c r="N13" s="585"/>
      <c r="O13" s="585"/>
      <c r="P13" s="585"/>
      <c r="Q13" s="310">
        <f>SUM(K13:P13)</f>
        <v>0</v>
      </c>
      <c r="S13" s="641">
        <f t="shared" si="1"/>
        <v>0</v>
      </c>
      <c r="T13" s="641">
        <f t="shared" si="0"/>
        <v>0</v>
      </c>
      <c r="U13" s="641">
        <f t="shared" si="0"/>
        <v>0</v>
      </c>
      <c r="V13" s="641">
        <f t="shared" si="0"/>
        <v>0</v>
      </c>
      <c r="W13" s="641">
        <f t="shared" si="0"/>
        <v>0</v>
      </c>
      <c r="X13" s="641">
        <f t="shared" si="0"/>
        <v>0</v>
      </c>
      <c r="Y13" s="641">
        <f t="shared" si="0"/>
        <v>0</v>
      </c>
      <c r="Z13"/>
      <c r="AA13"/>
      <c r="AB13"/>
      <c r="AC13"/>
      <c r="AD13"/>
      <c r="AE13"/>
      <c r="AF13"/>
    </row>
    <row r="14" spans="1:32">
      <c r="A14" s="361" t="s">
        <v>394</v>
      </c>
      <c r="B14" s="361">
        <f>SUM(B11:B13)</f>
        <v>0</v>
      </c>
      <c r="C14" s="361">
        <f t="shared" ref="C14:H14" si="2">SUM(C11:C13)</f>
        <v>0</v>
      </c>
      <c r="D14" s="361">
        <f t="shared" si="2"/>
        <v>0</v>
      </c>
      <c r="E14" s="361">
        <f t="shared" si="2"/>
        <v>0</v>
      </c>
      <c r="F14" s="361">
        <f t="shared" si="2"/>
        <v>0</v>
      </c>
      <c r="G14" s="361">
        <f t="shared" si="2"/>
        <v>0</v>
      </c>
      <c r="H14" s="361">
        <f t="shared" si="2"/>
        <v>0</v>
      </c>
      <c r="I14" s="167"/>
      <c r="J14" s="361" t="s">
        <v>448</v>
      </c>
      <c r="K14" s="362">
        <f>SUBTOTAL(9,K11:K13)</f>
        <v>0</v>
      </c>
      <c r="L14" s="362">
        <f t="shared" ref="L14:Q14" si="3">SUBTOTAL(9,L11:L13)</f>
        <v>0</v>
      </c>
      <c r="M14" s="362">
        <f t="shared" si="3"/>
        <v>0</v>
      </c>
      <c r="N14" s="362">
        <f t="shared" si="3"/>
        <v>0</v>
      </c>
      <c r="O14" s="362">
        <f t="shared" si="3"/>
        <v>0</v>
      </c>
      <c r="P14" s="362">
        <f t="shared" si="3"/>
        <v>0</v>
      </c>
      <c r="Q14" s="362">
        <f t="shared" si="3"/>
        <v>0</v>
      </c>
      <c r="S14" s="641">
        <f t="shared" si="1"/>
        <v>0</v>
      </c>
      <c r="T14" s="641">
        <f t="shared" si="0"/>
        <v>0</v>
      </c>
      <c r="U14" s="641">
        <f t="shared" si="0"/>
        <v>0</v>
      </c>
      <c r="V14" s="641">
        <f t="shared" si="0"/>
        <v>0</v>
      </c>
      <c r="W14" s="641">
        <f t="shared" si="0"/>
        <v>0</v>
      </c>
      <c r="X14" s="641">
        <f t="shared" si="0"/>
        <v>0</v>
      </c>
      <c r="Y14" s="641">
        <f t="shared" si="0"/>
        <v>0</v>
      </c>
      <c r="Z14"/>
      <c r="AA14"/>
      <c r="AB14"/>
      <c r="AC14"/>
      <c r="AD14"/>
      <c r="AE14"/>
      <c r="AF14"/>
    </row>
    <row r="15" spans="1:32">
      <c r="A15" s="339"/>
      <c r="B15" s="339"/>
      <c r="C15" s="339"/>
      <c r="D15" s="339"/>
      <c r="E15" s="339"/>
      <c r="F15" s="339"/>
      <c r="G15" s="339"/>
      <c r="H15" s="339"/>
      <c r="I15" s="167"/>
      <c r="J15" s="339"/>
      <c r="K15" s="349"/>
      <c r="L15" s="349"/>
      <c r="M15" s="349"/>
      <c r="N15" s="349"/>
      <c r="O15" s="349"/>
      <c r="P15" s="349"/>
      <c r="Q15" s="339"/>
      <c r="S15" s="507"/>
      <c r="T15" s="507"/>
      <c r="U15" s="507"/>
      <c r="V15" s="507"/>
      <c r="W15" s="507"/>
      <c r="X15" s="507"/>
      <c r="Y15" s="507"/>
      <c r="AA15"/>
      <c r="AB15"/>
      <c r="AC15"/>
      <c r="AD15"/>
      <c r="AE15"/>
      <c r="AF15"/>
    </row>
    <row r="16" spans="1:32">
      <c r="A16" s="340" t="s">
        <v>395</v>
      </c>
      <c r="B16" s="329"/>
      <c r="C16" s="329"/>
      <c r="D16" s="329"/>
      <c r="E16" s="329"/>
      <c r="F16" s="329"/>
      <c r="G16" s="329"/>
      <c r="H16" s="329"/>
      <c r="I16" s="167"/>
      <c r="J16" s="340" t="s">
        <v>395</v>
      </c>
      <c r="K16" s="329"/>
      <c r="L16" s="329"/>
      <c r="M16" s="329"/>
      <c r="N16" s="329"/>
      <c r="O16" s="329"/>
      <c r="P16" s="329"/>
      <c r="Q16" s="329"/>
      <c r="S16" s="641">
        <f>IFERROR(IF($U$6="% Var",K16/B16,K16-B16),)</f>
        <v>0</v>
      </c>
      <c r="T16" s="641">
        <f t="shared" ref="T16:Y20" si="4">IFERROR(IF($U$6="% Var",L16/C16,L16-C16),)</f>
        <v>0</v>
      </c>
      <c r="U16" s="641">
        <f t="shared" si="4"/>
        <v>0</v>
      </c>
      <c r="V16" s="641">
        <f t="shared" si="4"/>
        <v>0</v>
      </c>
      <c r="W16" s="641">
        <f t="shared" si="4"/>
        <v>0</v>
      </c>
      <c r="X16" s="641">
        <f t="shared" si="4"/>
        <v>0</v>
      </c>
      <c r="Y16" s="641">
        <f t="shared" si="4"/>
        <v>0</v>
      </c>
      <c r="Z16"/>
      <c r="AA16"/>
      <c r="AB16"/>
      <c r="AC16"/>
      <c r="AD16"/>
      <c r="AE16"/>
      <c r="AF16"/>
    </row>
    <row r="17" spans="1:32">
      <c r="A17" s="341" t="s">
        <v>55</v>
      </c>
      <c r="B17" s="329"/>
      <c r="C17" s="329"/>
      <c r="D17" s="329"/>
      <c r="E17" s="329"/>
      <c r="F17" s="329"/>
      <c r="G17" s="329"/>
      <c r="H17" s="329"/>
      <c r="I17" s="167"/>
      <c r="J17" s="341" t="s">
        <v>55</v>
      </c>
      <c r="K17" s="329"/>
      <c r="L17" s="329"/>
      <c r="M17" s="329"/>
      <c r="N17" s="329"/>
      <c r="O17" s="329"/>
      <c r="P17" s="329"/>
      <c r="Q17" s="329"/>
      <c r="S17" s="641">
        <f t="shared" ref="S17:S29" si="5">IFERROR(IF($U$6="% Var",K17/B17,K17-B17),)</f>
        <v>0</v>
      </c>
      <c r="T17" s="641">
        <f t="shared" si="4"/>
        <v>0</v>
      </c>
      <c r="U17" s="641">
        <f t="shared" si="4"/>
        <v>0</v>
      </c>
      <c r="V17" s="641">
        <f t="shared" si="4"/>
        <v>0</v>
      </c>
      <c r="W17" s="641">
        <f t="shared" si="4"/>
        <v>0</v>
      </c>
      <c r="X17" s="641">
        <f t="shared" si="4"/>
        <v>0</v>
      </c>
      <c r="Y17" s="641">
        <f t="shared" si="4"/>
        <v>0</v>
      </c>
      <c r="Z17"/>
      <c r="AA17"/>
      <c r="AB17"/>
      <c r="AC17"/>
      <c r="AD17"/>
      <c r="AE17"/>
      <c r="AF17"/>
    </row>
    <row r="18" spans="1:32">
      <c r="A18" s="342" t="s">
        <v>411</v>
      </c>
      <c r="B18" s="346"/>
      <c r="C18" s="346"/>
      <c r="D18" s="346"/>
      <c r="E18" s="346"/>
      <c r="F18" s="346"/>
      <c r="G18" s="346"/>
      <c r="H18" s="353">
        <f>SUM(B18:G18)</f>
        <v>0</v>
      </c>
      <c r="I18" s="167"/>
      <c r="J18" s="342" t="s">
        <v>411</v>
      </c>
      <c r="K18" s="346"/>
      <c r="L18" s="346"/>
      <c r="M18" s="346"/>
      <c r="N18" s="346"/>
      <c r="O18" s="346"/>
      <c r="P18" s="346"/>
      <c r="Q18" s="310">
        <f>SUM(K18:P18)</f>
        <v>0</v>
      </c>
      <c r="S18" s="641">
        <f t="shared" si="5"/>
        <v>0</v>
      </c>
      <c r="T18" s="641">
        <f t="shared" si="4"/>
        <v>0</v>
      </c>
      <c r="U18" s="641">
        <f t="shared" si="4"/>
        <v>0</v>
      </c>
      <c r="V18" s="641">
        <f t="shared" si="4"/>
        <v>0</v>
      </c>
      <c r="W18" s="641">
        <f t="shared" si="4"/>
        <v>0</v>
      </c>
      <c r="X18" s="641">
        <f t="shared" si="4"/>
        <v>0</v>
      </c>
      <c r="Y18" s="641">
        <f t="shared" si="4"/>
        <v>0</v>
      </c>
      <c r="Z18"/>
      <c r="AA18"/>
      <c r="AB18"/>
      <c r="AC18"/>
      <c r="AD18"/>
      <c r="AE18"/>
      <c r="AF18"/>
    </row>
    <row r="19" spans="1:32">
      <c r="A19" s="342" t="s">
        <v>397</v>
      </c>
      <c r="B19" s="346"/>
      <c r="C19" s="346"/>
      <c r="D19" s="346"/>
      <c r="E19" s="346"/>
      <c r="F19" s="346"/>
      <c r="G19" s="346"/>
      <c r="H19" s="353">
        <f t="shared" ref="H19" si="6">SUM(B19:G19)</f>
        <v>0</v>
      </c>
      <c r="I19" s="167"/>
      <c r="J19" s="342" t="s">
        <v>397</v>
      </c>
      <c r="K19" s="346"/>
      <c r="L19" s="346"/>
      <c r="M19" s="346"/>
      <c r="N19" s="346"/>
      <c r="O19" s="346"/>
      <c r="P19" s="346"/>
      <c r="Q19" s="310">
        <f t="shared" ref="Q19" si="7">SUM(K19:P19)</f>
        <v>0</v>
      </c>
      <c r="S19" s="641">
        <f t="shared" si="5"/>
        <v>0</v>
      </c>
      <c r="T19" s="641">
        <f t="shared" si="4"/>
        <v>0</v>
      </c>
      <c r="U19" s="641">
        <f t="shared" si="4"/>
        <v>0</v>
      </c>
      <c r="V19" s="641">
        <f t="shared" si="4"/>
        <v>0</v>
      </c>
      <c r="W19" s="641">
        <f t="shared" si="4"/>
        <v>0</v>
      </c>
      <c r="X19" s="641">
        <f t="shared" si="4"/>
        <v>0</v>
      </c>
      <c r="Y19" s="641">
        <f t="shared" si="4"/>
        <v>0</v>
      </c>
      <c r="Z19"/>
      <c r="AA19"/>
      <c r="AB19"/>
      <c r="AC19"/>
      <c r="AD19"/>
      <c r="AE19"/>
      <c r="AF19"/>
    </row>
    <row r="20" spans="1:32" ht="17.25" customHeight="1">
      <c r="A20" s="363" t="s">
        <v>449</v>
      </c>
      <c r="B20" s="357">
        <f>SUBTOTAL(9,B18:B19)</f>
        <v>0</v>
      </c>
      <c r="C20" s="357">
        <f t="shared" ref="C20:H20" si="8">SUBTOTAL(9,C18:C19)</f>
        <v>0</v>
      </c>
      <c r="D20" s="357">
        <f t="shared" si="8"/>
        <v>0</v>
      </c>
      <c r="E20" s="357">
        <f t="shared" si="8"/>
        <v>0</v>
      </c>
      <c r="F20" s="357">
        <f t="shared" si="8"/>
        <v>0</v>
      </c>
      <c r="G20" s="357">
        <f t="shared" si="8"/>
        <v>0</v>
      </c>
      <c r="H20" s="357">
        <f t="shared" si="8"/>
        <v>0</v>
      </c>
      <c r="I20" s="167"/>
      <c r="J20" s="355" t="s">
        <v>449</v>
      </c>
      <c r="K20" s="356">
        <f>SUBTOTAL(9,K18:K19)</f>
        <v>0</v>
      </c>
      <c r="L20" s="356">
        <f t="shared" ref="L20:Q20" si="9">SUBTOTAL(9,L18:L19)</f>
        <v>0</v>
      </c>
      <c r="M20" s="356">
        <f t="shared" si="9"/>
        <v>0</v>
      </c>
      <c r="N20" s="356">
        <f t="shared" si="9"/>
        <v>0</v>
      </c>
      <c r="O20" s="356">
        <f t="shared" si="9"/>
        <v>0</v>
      </c>
      <c r="P20" s="356">
        <f t="shared" si="9"/>
        <v>0</v>
      </c>
      <c r="Q20" s="357">
        <f t="shared" si="9"/>
        <v>0</v>
      </c>
      <c r="S20" s="641">
        <f t="shared" si="5"/>
        <v>0</v>
      </c>
      <c r="T20" s="641">
        <f t="shared" si="4"/>
        <v>0</v>
      </c>
      <c r="U20" s="641">
        <f t="shared" si="4"/>
        <v>0</v>
      </c>
      <c r="V20" s="641">
        <f t="shared" si="4"/>
        <v>0</v>
      </c>
      <c r="W20" s="641">
        <f t="shared" si="4"/>
        <v>0</v>
      </c>
      <c r="X20" s="641">
        <f t="shared" si="4"/>
        <v>0</v>
      </c>
      <c r="Y20" s="641">
        <f t="shared" si="4"/>
        <v>0</v>
      </c>
      <c r="Z20"/>
      <c r="AA20"/>
      <c r="AB20"/>
      <c r="AC20"/>
      <c r="AD20"/>
      <c r="AE20"/>
      <c r="AF20"/>
    </row>
    <row r="21" spans="1:32" ht="17.25" customHeight="1">
      <c r="A21" s="338" t="s">
        <v>450</v>
      </c>
      <c r="B21" s="343"/>
      <c r="C21" s="343"/>
      <c r="D21" s="343"/>
      <c r="E21" s="343"/>
      <c r="F21" s="343"/>
      <c r="G21" s="343"/>
      <c r="H21" s="343"/>
      <c r="I21" s="167"/>
      <c r="J21" s="338" t="s">
        <v>450</v>
      </c>
      <c r="K21" s="348"/>
      <c r="L21" s="348"/>
      <c r="M21" s="348"/>
      <c r="N21" s="348"/>
      <c r="O21" s="348"/>
      <c r="P21" s="348"/>
      <c r="Q21" s="344"/>
      <c r="S21" s="507"/>
      <c r="T21" s="507"/>
      <c r="U21" s="507"/>
      <c r="V21" s="507"/>
      <c r="W21" s="507"/>
      <c r="X21" s="507"/>
      <c r="Y21" s="507"/>
      <c r="AA21"/>
      <c r="AB21"/>
      <c r="AC21"/>
      <c r="AD21"/>
      <c r="AE21"/>
      <c r="AF21"/>
    </row>
    <row r="22" spans="1:32" ht="17.25" customHeight="1">
      <c r="A22" s="342" t="s">
        <v>57</v>
      </c>
      <c r="B22" s="364"/>
      <c r="C22" s="364"/>
      <c r="D22" s="364"/>
      <c r="E22" s="364"/>
      <c r="F22" s="364"/>
      <c r="G22" s="364"/>
      <c r="H22" s="343">
        <f t="shared" ref="H22:H25" si="10">SUM(B22:G22)</f>
        <v>0</v>
      </c>
      <c r="I22" s="167"/>
      <c r="J22" s="342" t="s">
        <v>57</v>
      </c>
      <c r="K22" s="346"/>
      <c r="L22" s="346"/>
      <c r="M22" s="346"/>
      <c r="N22" s="346"/>
      <c r="O22" s="346"/>
      <c r="P22" s="346"/>
      <c r="Q22" s="310">
        <f t="shared" ref="Q22:Q25" si="11">SUM(K22:P22)</f>
        <v>0</v>
      </c>
      <c r="S22" s="641">
        <f t="shared" si="5"/>
        <v>0</v>
      </c>
      <c r="T22" s="641">
        <f t="shared" ref="T22:T27" si="12">IFERROR(IF($U$6="% Var",L22/C22,L22-C22),)</f>
        <v>0</v>
      </c>
      <c r="U22" s="641">
        <f t="shared" ref="U22:U27" si="13">IFERROR(IF($U$6="% Var",M22/D22,M22-D22),)</f>
        <v>0</v>
      </c>
      <c r="V22" s="641">
        <f t="shared" ref="V22:V27" si="14">IFERROR(IF($U$6="% Var",N22/E22,N22-E22),)</f>
        <v>0</v>
      </c>
      <c r="W22" s="641">
        <f t="shared" ref="W22:W27" si="15">IFERROR(IF($U$6="% Var",O22/F22,O22-F22),)</f>
        <v>0</v>
      </c>
      <c r="X22" s="641">
        <f t="shared" ref="X22:X27" si="16">IFERROR(IF($U$6="% Var",P22/G22,P22-G22),)</f>
        <v>0</v>
      </c>
      <c r="Y22" s="641">
        <f t="shared" ref="Y22:Y27" si="17">IFERROR(IF($U$6="% Var",Q22/H22,Q22-H22),)</f>
        <v>0</v>
      </c>
      <c r="Z22"/>
      <c r="AA22"/>
      <c r="AB22"/>
      <c r="AC22"/>
      <c r="AD22"/>
      <c r="AE22"/>
      <c r="AF22"/>
    </row>
    <row r="23" spans="1:32" ht="17.25" customHeight="1">
      <c r="A23" s="342" t="s">
        <v>398</v>
      </c>
      <c r="B23" s="364"/>
      <c r="C23" s="364"/>
      <c r="D23" s="364"/>
      <c r="E23" s="364"/>
      <c r="F23" s="364"/>
      <c r="G23" s="364"/>
      <c r="H23" s="343">
        <f t="shared" si="10"/>
        <v>0</v>
      </c>
      <c r="I23" s="167"/>
      <c r="J23" s="342" t="s">
        <v>398</v>
      </c>
      <c r="K23" s="346"/>
      <c r="L23" s="346"/>
      <c r="M23" s="346"/>
      <c r="N23" s="346"/>
      <c r="O23" s="346"/>
      <c r="P23" s="346"/>
      <c r="Q23" s="310">
        <f t="shared" si="11"/>
        <v>0</v>
      </c>
      <c r="S23" s="641">
        <f t="shared" si="5"/>
        <v>0</v>
      </c>
      <c r="T23" s="641">
        <f t="shared" si="12"/>
        <v>0</v>
      </c>
      <c r="U23" s="641">
        <f t="shared" si="13"/>
        <v>0</v>
      </c>
      <c r="V23" s="641">
        <f t="shared" si="14"/>
        <v>0</v>
      </c>
      <c r="W23" s="641">
        <f t="shared" si="15"/>
        <v>0</v>
      </c>
      <c r="X23" s="641">
        <f t="shared" si="16"/>
        <v>0</v>
      </c>
      <c r="Y23" s="641">
        <f t="shared" si="17"/>
        <v>0</v>
      </c>
      <c r="Z23"/>
      <c r="AA23"/>
      <c r="AB23"/>
      <c r="AC23"/>
      <c r="AD23"/>
      <c r="AE23"/>
      <c r="AF23"/>
    </row>
    <row r="24" spans="1:32" ht="17.25" customHeight="1">
      <c r="A24" s="342" t="s">
        <v>399</v>
      </c>
      <c r="B24" s="364"/>
      <c r="C24" s="364"/>
      <c r="D24" s="364"/>
      <c r="E24" s="364"/>
      <c r="F24" s="364"/>
      <c r="G24" s="364"/>
      <c r="H24" s="343">
        <f t="shared" si="10"/>
        <v>0</v>
      </c>
      <c r="I24" s="167"/>
      <c r="J24" s="342" t="s">
        <v>399</v>
      </c>
      <c r="K24" s="346"/>
      <c r="L24" s="346"/>
      <c r="M24" s="346"/>
      <c r="N24" s="346"/>
      <c r="O24" s="346"/>
      <c r="P24" s="346"/>
      <c r="Q24" s="310">
        <f t="shared" si="11"/>
        <v>0</v>
      </c>
      <c r="S24" s="641">
        <f t="shared" si="5"/>
        <v>0</v>
      </c>
      <c r="T24" s="641">
        <f t="shared" si="12"/>
        <v>0</v>
      </c>
      <c r="U24" s="641">
        <f t="shared" si="13"/>
        <v>0</v>
      </c>
      <c r="V24" s="641">
        <f t="shared" si="14"/>
        <v>0</v>
      </c>
      <c r="W24" s="641">
        <f t="shared" si="15"/>
        <v>0</v>
      </c>
      <c r="X24" s="641">
        <f t="shared" si="16"/>
        <v>0</v>
      </c>
      <c r="Y24" s="641">
        <f t="shared" si="17"/>
        <v>0</v>
      </c>
      <c r="Z24"/>
      <c r="AA24"/>
      <c r="AB24"/>
      <c r="AC24"/>
      <c r="AD24"/>
      <c r="AE24"/>
      <c r="AF24"/>
    </row>
    <row r="25" spans="1:32" ht="17.25" customHeight="1">
      <c r="A25" s="342" t="s">
        <v>535</v>
      </c>
      <c r="B25" s="364"/>
      <c r="C25" s="364"/>
      <c r="D25" s="364"/>
      <c r="E25" s="364"/>
      <c r="F25" s="364"/>
      <c r="G25" s="364"/>
      <c r="H25" s="343">
        <f t="shared" si="10"/>
        <v>0</v>
      </c>
      <c r="I25" s="167"/>
      <c r="J25" s="586" t="s">
        <v>534</v>
      </c>
      <c r="K25" s="346"/>
      <c r="L25" s="346"/>
      <c r="M25" s="346"/>
      <c r="N25" s="346"/>
      <c r="O25" s="346"/>
      <c r="P25" s="346"/>
      <c r="Q25" s="310">
        <f t="shared" si="11"/>
        <v>0</v>
      </c>
      <c r="S25" s="641">
        <f t="shared" si="5"/>
        <v>0</v>
      </c>
      <c r="T25" s="641">
        <f t="shared" si="12"/>
        <v>0</v>
      </c>
      <c r="U25" s="641">
        <f t="shared" si="13"/>
        <v>0</v>
      </c>
      <c r="V25" s="641">
        <f t="shared" si="14"/>
        <v>0</v>
      </c>
      <c r="W25" s="641">
        <f t="shared" si="15"/>
        <v>0</v>
      </c>
      <c r="X25" s="641">
        <f t="shared" si="16"/>
        <v>0</v>
      </c>
      <c r="Y25" s="641">
        <f t="shared" si="17"/>
        <v>0</v>
      </c>
      <c r="Z25"/>
      <c r="AA25"/>
      <c r="AB25"/>
      <c r="AC25"/>
      <c r="AD25"/>
      <c r="AE25"/>
      <c r="AF25"/>
    </row>
    <row r="26" spans="1:32" ht="17.25" customHeight="1">
      <c r="A26" s="363" t="s">
        <v>451</v>
      </c>
      <c r="B26" s="357">
        <f t="shared" ref="B26:H26" si="18">SUBTOTAL(9,B22:B25)</f>
        <v>0</v>
      </c>
      <c r="C26" s="357">
        <f t="shared" si="18"/>
        <v>0</v>
      </c>
      <c r="D26" s="357">
        <f t="shared" si="18"/>
        <v>0</v>
      </c>
      <c r="E26" s="357">
        <f t="shared" si="18"/>
        <v>0</v>
      </c>
      <c r="F26" s="357">
        <f t="shared" si="18"/>
        <v>0</v>
      </c>
      <c r="G26" s="357">
        <f t="shared" si="18"/>
        <v>0</v>
      </c>
      <c r="H26" s="357">
        <f t="shared" si="18"/>
        <v>0</v>
      </c>
      <c r="I26" s="167"/>
      <c r="J26" s="355" t="s">
        <v>451</v>
      </c>
      <c r="K26" s="357">
        <f>SUBTOTAL(9,K22:K25)</f>
        <v>0</v>
      </c>
      <c r="L26" s="357">
        <f t="shared" ref="L26:Q26" si="19">SUBTOTAL(9,L22:L25)</f>
        <v>0</v>
      </c>
      <c r="M26" s="357">
        <f t="shared" si="19"/>
        <v>0</v>
      </c>
      <c r="N26" s="357">
        <f t="shared" si="19"/>
        <v>0</v>
      </c>
      <c r="O26" s="357">
        <f t="shared" si="19"/>
        <v>0</v>
      </c>
      <c r="P26" s="357">
        <f t="shared" si="19"/>
        <v>0</v>
      </c>
      <c r="Q26" s="357">
        <f t="shared" si="19"/>
        <v>0</v>
      </c>
      <c r="S26" s="641">
        <f t="shared" si="5"/>
        <v>0</v>
      </c>
      <c r="T26" s="641">
        <f t="shared" si="12"/>
        <v>0</v>
      </c>
      <c r="U26" s="641">
        <f t="shared" si="13"/>
        <v>0</v>
      </c>
      <c r="V26" s="641">
        <f t="shared" si="14"/>
        <v>0</v>
      </c>
      <c r="W26" s="641">
        <f t="shared" si="15"/>
        <v>0</v>
      </c>
      <c r="X26" s="641">
        <f t="shared" si="16"/>
        <v>0</v>
      </c>
      <c r="Y26" s="641">
        <f t="shared" si="17"/>
        <v>0</v>
      </c>
      <c r="Z26"/>
      <c r="AA26"/>
      <c r="AB26"/>
      <c r="AC26"/>
      <c r="AD26"/>
      <c r="AE26"/>
      <c r="AF26"/>
    </row>
    <row r="27" spans="1:32" ht="17.25" customHeight="1">
      <c r="A27" s="313" t="s">
        <v>400</v>
      </c>
      <c r="B27" s="359">
        <f t="shared" ref="B27:H27" si="20">B26+B20</f>
        <v>0</v>
      </c>
      <c r="C27" s="359">
        <f t="shared" si="20"/>
        <v>0</v>
      </c>
      <c r="D27" s="359">
        <f t="shared" si="20"/>
        <v>0</v>
      </c>
      <c r="E27" s="359">
        <f t="shared" si="20"/>
        <v>0</v>
      </c>
      <c r="F27" s="359">
        <f t="shared" si="20"/>
        <v>0</v>
      </c>
      <c r="G27" s="359">
        <f t="shared" si="20"/>
        <v>0</v>
      </c>
      <c r="H27" s="359">
        <f t="shared" si="20"/>
        <v>0</v>
      </c>
      <c r="I27" s="167"/>
      <c r="J27" s="313" t="s">
        <v>452</v>
      </c>
      <c r="K27" s="359">
        <f>SUBTOTAL(9,K17:K26)</f>
        <v>0</v>
      </c>
      <c r="L27" s="359">
        <f t="shared" ref="L27:Q27" si="21">SUBTOTAL(9,L17:L26)</f>
        <v>0</v>
      </c>
      <c r="M27" s="359">
        <f t="shared" si="21"/>
        <v>0</v>
      </c>
      <c r="N27" s="359">
        <f t="shared" si="21"/>
        <v>0</v>
      </c>
      <c r="O27" s="359">
        <f t="shared" si="21"/>
        <v>0</v>
      </c>
      <c r="P27" s="359">
        <f t="shared" si="21"/>
        <v>0</v>
      </c>
      <c r="Q27" s="359">
        <f t="shared" si="21"/>
        <v>0</v>
      </c>
      <c r="S27" s="641">
        <f t="shared" si="5"/>
        <v>0</v>
      </c>
      <c r="T27" s="641">
        <f t="shared" si="12"/>
        <v>0</v>
      </c>
      <c r="U27" s="641">
        <f t="shared" si="13"/>
        <v>0</v>
      </c>
      <c r="V27" s="641">
        <f t="shared" si="14"/>
        <v>0</v>
      </c>
      <c r="W27" s="641">
        <f t="shared" si="15"/>
        <v>0</v>
      </c>
      <c r="X27" s="641">
        <f t="shared" si="16"/>
        <v>0</v>
      </c>
      <c r="Y27" s="641">
        <f t="shared" si="17"/>
        <v>0</v>
      </c>
      <c r="Z27"/>
      <c r="AA27"/>
      <c r="AB27"/>
      <c r="AC27"/>
      <c r="AD27"/>
      <c r="AE27"/>
      <c r="AF27"/>
    </row>
    <row r="28" spans="1:32" ht="17.25" customHeight="1">
      <c r="A28" s="312"/>
      <c r="B28" s="332"/>
      <c r="C28" s="332"/>
      <c r="D28" s="332"/>
      <c r="E28" s="332"/>
      <c r="F28" s="332"/>
      <c r="G28" s="332"/>
      <c r="H28" s="331">
        <f>H14-H27</f>
        <v>0</v>
      </c>
      <c r="I28" s="167"/>
      <c r="J28" s="12"/>
      <c r="K28" s="12"/>
      <c r="L28" s="12"/>
      <c r="M28" s="12"/>
      <c r="N28" s="12"/>
      <c r="O28" s="12"/>
      <c r="P28" s="12"/>
      <c r="Q28" s="288"/>
      <c r="S28" s="507"/>
      <c r="T28" s="507"/>
      <c r="U28" s="507"/>
      <c r="V28" s="507"/>
      <c r="W28" s="507"/>
      <c r="X28" s="507"/>
      <c r="Y28" s="507"/>
      <c r="AA28"/>
      <c r="AB28"/>
      <c r="AC28"/>
      <c r="AD28"/>
      <c r="AE28"/>
      <c r="AF28"/>
    </row>
    <row r="29" spans="1:32" ht="17.25" customHeight="1" thickBot="1">
      <c r="A29" s="470" t="s">
        <v>387</v>
      </c>
      <c r="B29" s="471">
        <f>B14-B27</f>
        <v>0</v>
      </c>
      <c r="C29" s="471">
        <f t="shared" ref="C29:H29" si="22">C14-C27</f>
        <v>0</v>
      </c>
      <c r="D29" s="471">
        <f t="shared" si="22"/>
        <v>0</v>
      </c>
      <c r="E29" s="471">
        <f t="shared" si="22"/>
        <v>0</v>
      </c>
      <c r="F29" s="471">
        <f t="shared" si="22"/>
        <v>0</v>
      </c>
      <c r="G29" s="471">
        <f t="shared" si="22"/>
        <v>0</v>
      </c>
      <c r="H29" s="471">
        <f t="shared" si="22"/>
        <v>0</v>
      </c>
      <c r="I29" s="167"/>
      <c r="J29" s="472" t="s">
        <v>387</v>
      </c>
      <c r="K29" s="473">
        <f t="shared" ref="K29:Q29" si="23">K14-K27</f>
        <v>0</v>
      </c>
      <c r="L29" s="473">
        <f t="shared" si="23"/>
        <v>0</v>
      </c>
      <c r="M29" s="473">
        <f t="shared" si="23"/>
        <v>0</v>
      </c>
      <c r="N29" s="473">
        <f t="shared" si="23"/>
        <v>0</v>
      </c>
      <c r="O29" s="473">
        <f t="shared" si="23"/>
        <v>0</v>
      </c>
      <c r="P29" s="473">
        <f t="shared" si="23"/>
        <v>0</v>
      </c>
      <c r="Q29" s="473">
        <f t="shared" si="23"/>
        <v>0</v>
      </c>
      <c r="S29" s="641">
        <f t="shared" si="5"/>
        <v>0</v>
      </c>
      <c r="T29" s="641">
        <f t="shared" ref="T29" si="24">IFERROR(IF($U$6="% Var",L29/C29,L29-C29),)</f>
        <v>0</v>
      </c>
      <c r="U29" s="641">
        <f t="shared" ref="U29" si="25">IFERROR(IF($U$6="% Var",M29/D29,M29-D29),)</f>
        <v>0</v>
      </c>
      <c r="V29" s="641">
        <f t="shared" ref="V29" si="26">IFERROR(IF($U$6="% Var",N29/E29,N29-E29),)</f>
        <v>0</v>
      </c>
      <c r="W29" s="641">
        <f t="shared" ref="W29" si="27">IFERROR(IF($U$6="% Var",O29/F29,O29-F29),)</f>
        <v>0</v>
      </c>
      <c r="X29" s="641">
        <f t="shared" ref="X29" si="28">IFERROR(IF($U$6="% Var",P29/G29,P29-G29),)</f>
        <v>0</v>
      </c>
      <c r="Y29" s="641">
        <f t="shared" ref="Y29" si="29">IFERROR(IF($U$6="% Var",Q29/H29,Q29-H29),)</f>
        <v>0</v>
      </c>
      <c r="Z29"/>
      <c r="AA29"/>
      <c r="AB29"/>
      <c r="AC29"/>
      <c r="AD29"/>
      <c r="AE29"/>
      <c r="AF29"/>
    </row>
    <row r="30" spans="1:32" ht="17.25" customHeight="1" thickTop="1">
      <c r="I30" s="167"/>
      <c r="J30" s="167"/>
      <c r="K30" s="167"/>
      <c r="X30"/>
      <c r="Y30"/>
      <c r="Z30"/>
      <c r="AA30"/>
      <c r="AB30"/>
      <c r="AC30"/>
      <c r="AD30"/>
      <c r="AE30"/>
      <c r="AF30"/>
    </row>
    <row r="31" spans="1:32" ht="17.25" customHeight="1">
      <c r="I31" s="167"/>
      <c r="J31" s="685" t="s">
        <v>567</v>
      </c>
      <c r="K31" s="685"/>
      <c r="L31" s="685"/>
      <c r="M31" s="685"/>
      <c r="N31" s="685"/>
      <c r="O31" s="685"/>
      <c r="P31" s="685"/>
      <c r="Q31" s="685"/>
      <c r="X31"/>
      <c r="Y31"/>
      <c r="Z31"/>
      <c r="AA31"/>
      <c r="AB31"/>
      <c r="AC31"/>
      <c r="AD31"/>
      <c r="AE31"/>
      <c r="AF31"/>
    </row>
    <row r="32" spans="1:32" ht="17.25" customHeight="1">
      <c r="B32" s="12"/>
      <c r="C32" s="657"/>
      <c r="D32" s="657"/>
      <c r="E32" s="12"/>
      <c r="I32" s="167"/>
      <c r="J32" s="167"/>
      <c r="K32" s="167"/>
      <c r="X32"/>
      <c r="Y32"/>
      <c r="Z32"/>
      <c r="AA32"/>
      <c r="AB32"/>
      <c r="AC32"/>
      <c r="AD32"/>
      <c r="AE32"/>
      <c r="AF32"/>
    </row>
    <row r="33" spans="1:32" ht="17.25" customHeight="1">
      <c r="A33" s="358" t="s">
        <v>412</v>
      </c>
      <c r="B33" s="354" t="s">
        <v>415</v>
      </c>
      <c r="C33" s="354" t="s">
        <v>453</v>
      </c>
      <c r="D33" s="354" t="s">
        <v>540</v>
      </c>
      <c r="E33" s="354" t="s">
        <v>569</v>
      </c>
      <c r="F33" s="354" t="s">
        <v>25</v>
      </c>
      <c r="G33" s="311"/>
      <c r="I33" s="167"/>
      <c r="J33" s="167"/>
      <c r="K33" s="167"/>
      <c r="X33"/>
      <c r="Y33"/>
      <c r="Z33"/>
      <c r="AA33"/>
      <c r="AB33"/>
      <c r="AC33"/>
      <c r="AD33"/>
      <c r="AE33"/>
      <c r="AF33"/>
    </row>
    <row r="34" spans="1:32" ht="17.25" customHeight="1">
      <c r="A34" s="309" t="s">
        <v>407</v>
      </c>
      <c r="B34" s="346"/>
      <c r="C34" s="346"/>
      <c r="D34" s="346"/>
      <c r="E34" s="346"/>
      <c r="F34" s="310">
        <f>SUM(B34:E34)</f>
        <v>0</v>
      </c>
      <c r="G34" s="288"/>
      <c r="I34" s="167"/>
      <c r="J34" s="167"/>
      <c r="K34" s="167"/>
      <c r="X34"/>
      <c r="Y34"/>
      <c r="Z34"/>
      <c r="AA34"/>
      <c r="AB34"/>
      <c r="AC34"/>
      <c r="AD34"/>
      <c r="AE34"/>
      <c r="AF34"/>
    </row>
    <row r="35" spans="1:32" ht="17.25" customHeight="1">
      <c r="A35" s="309" t="s">
        <v>408</v>
      </c>
      <c r="B35" s="346"/>
      <c r="C35" s="346"/>
      <c r="D35" s="346"/>
      <c r="E35" s="346"/>
      <c r="F35" s="310">
        <f t="shared" ref="F35:F37" si="30">SUM(B35:E35)</f>
        <v>0</v>
      </c>
      <c r="I35" s="167"/>
      <c r="J35" s="167"/>
      <c r="K35" s="167"/>
      <c r="X35"/>
      <c r="Y35"/>
      <c r="Z35"/>
      <c r="AA35"/>
      <c r="AB35"/>
      <c r="AC35"/>
      <c r="AD35"/>
      <c r="AE35"/>
      <c r="AF35"/>
    </row>
    <row r="36" spans="1:32">
      <c r="A36" s="309" t="s">
        <v>396</v>
      </c>
      <c r="B36" s="346"/>
      <c r="C36" s="346"/>
      <c r="D36" s="346"/>
      <c r="E36" s="346"/>
      <c r="F36" s="310">
        <f t="shared" si="30"/>
        <v>0</v>
      </c>
      <c r="I36" s="167"/>
      <c r="J36" s="167"/>
      <c r="K36" s="167"/>
      <c r="X36"/>
      <c r="Y36"/>
      <c r="Z36"/>
      <c r="AA36"/>
      <c r="AB36"/>
      <c r="AC36"/>
      <c r="AD36"/>
      <c r="AE36"/>
      <c r="AF36"/>
    </row>
    <row r="37" spans="1:32">
      <c r="A37" s="309" t="s">
        <v>409</v>
      </c>
      <c r="B37" s="346"/>
      <c r="C37" s="346"/>
      <c r="D37" s="346"/>
      <c r="E37" s="346"/>
      <c r="F37" s="310">
        <f t="shared" si="30"/>
        <v>0</v>
      </c>
      <c r="I37" s="167"/>
      <c r="J37" s="167"/>
      <c r="K37" s="167"/>
      <c r="X37"/>
      <c r="Y37"/>
      <c r="Z37"/>
      <c r="AA37"/>
      <c r="AB37"/>
      <c r="AC37"/>
      <c r="AD37"/>
      <c r="AE37"/>
      <c r="AF37"/>
    </row>
    <row r="38" spans="1:32">
      <c r="A38" s="360" t="s">
        <v>454</v>
      </c>
      <c r="B38" s="360">
        <f t="shared" ref="B38:C38" si="31">SUM(B34:B37)</f>
        <v>0</v>
      </c>
      <c r="C38" s="360">
        <f t="shared" si="31"/>
        <v>0</v>
      </c>
      <c r="D38" s="360">
        <f t="shared" ref="D38:E38" si="32">SUM(D34:D37)</f>
        <v>0</v>
      </c>
      <c r="E38" s="360">
        <f t="shared" si="32"/>
        <v>0</v>
      </c>
      <c r="F38" s="360">
        <f>SUM(F34:F37)</f>
        <v>0</v>
      </c>
      <c r="I38" s="167"/>
      <c r="J38" s="167"/>
      <c r="K38" s="167"/>
      <c r="X38"/>
      <c r="Y38"/>
      <c r="Z38"/>
      <c r="AA38"/>
      <c r="AB38"/>
      <c r="AC38"/>
      <c r="AD38"/>
      <c r="AE38"/>
      <c r="AF38"/>
    </row>
    <row r="40" spans="1:32" s="167" customFormat="1">
      <c r="I40"/>
    </row>
    <row r="41" spans="1:32" s="167" customFormat="1">
      <c r="I41"/>
    </row>
    <row r="42" spans="1:32" s="167" customFormat="1">
      <c r="I42"/>
    </row>
    <row r="43" spans="1:32" s="167" customFormat="1">
      <c r="I43"/>
    </row>
    <row r="44" spans="1:32" s="167" customFormat="1">
      <c r="I44"/>
    </row>
    <row r="45" spans="1:32" s="167" customFormat="1">
      <c r="I45"/>
    </row>
    <row r="46" spans="1:32" s="167" customFormat="1">
      <c r="I46"/>
    </row>
    <row r="47" spans="1:32" s="167" customFormat="1">
      <c r="I47"/>
    </row>
    <row r="48" spans="1:32" s="167" customFormat="1">
      <c r="I48"/>
    </row>
    <row r="49" spans="9:9" s="167" customFormat="1">
      <c r="I49"/>
    </row>
    <row r="50" spans="9:9" s="167" customFormat="1">
      <c r="I50"/>
    </row>
    <row r="51" spans="9:9" s="167" customFormat="1">
      <c r="I51"/>
    </row>
    <row r="52" spans="9:9" s="167" customFormat="1">
      <c r="I52"/>
    </row>
    <row r="53" spans="9:9" s="167" customFormat="1">
      <c r="I53"/>
    </row>
    <row r="54" spans="9:9" s="167" customFormat="1">
      <c r="I54"/>
    </row>
    <row r="55" spans="9:9" s="167" customFormat="1">
      <c r="I55"/>
    </row>
    <row r="56" spans="9:9" s="167" customFormat="1">
      <c r="I56"/>
    </row>
    <row r="57" spans="9:9" s="167" customFormat="1">
      <c r="I57"/>
    </row>
    <row r="58" spans="9:9" s="167" customFormat="1">
      <c r="I58"/>
    </row>
    <row r="59" spans="9:9" s="167" customFormat="1">
      <c r="I59"/>
    </row>
    <row r="60" spans="9:9" s="167" customFormat="1">
      <c r="I60"/>
    </row>
    <row r="61" spans="9:9" s="167" customFormat="1">
      <c r="I61"/>
    </row>
    <row r="62" spans="9:9" s="167" customFormat="1">
      <c r="I62"/>
    </row>
    <row r="63" spans="9:9" s="167" customFormat="1">
      <c r="I63"/>
    </row>
    <row r="64" spans="9:9" s="167" customFormat="1">
      <c r="I64"/>
    </row>
    <row r="65" spans="9:9" s="167" customFormat="1">
      <c r="I65"/>
    </row>
    <row r="66" spans="9:9" s="167" customFormat="1">
      <c r="I66"/>
    </row>
    <row r="67" spans="9:9" s="167" customFormat="1">
      <c r="I67"/>
    </row>
    <row r="68" spans="9:9" s="167" customFormat="1">
      <c r="I68"/>
    </row>
    <row r="69" spans="9:9" s="167" customFormat="1">
      <c r="I69"/>
    </row>
    <row r="70" spans="9:9" s="167" customFormat="1">
      <c r="I70"/>
    </row>
    <row r="71" spans="9:9" s="167" customFormat="1">
      <c r="I71"/>
    </row>
    <row r="72" spans="9:9" s="167" customFormat="1">
      <c r="I72"/>
    </row>
    <row r="73" spans="9:9" s="167" customFormat="1">
      <c r="I73"/>
    </row>
    <row r="74" spans="9:9" s="167" customFormat="1">
      <c r="I74"/>
    </row>
    <row r="75" spans="9:9" s="167" customFormat="1">
      <c r="I75"/>
    </row>
    <row r="76" spans="9:9" s="167" customFormat="1">
      <c r="I76"/>
    </row>
    <row r="77" spans="9:9" s="167" customFormat="1">
      <c r="I77"/>
    </row>
    <row r="78" spans="9:9" s="167" customFormat="1">
      <c r="I78"/>
    </row>
    <row r="79" spans="9:9" s="167" customFormat="1">
      <c r="I79"/>
    </row>
    <row r="80" spans="9:9" s="167" customFormat="1">
      <c r="I80"/>
    </row>
    <row r="81" spans="9:9" s="167" customFormat="1">
      <c r="I81"/>
    </row>
    <row r="82" spans="9:9" s="167" customFormat="1">
      <c r="I82"/>
    </row>
    <row r="83" spans="9:9" s="167" customFormat="1">
      <c r="I83"/>
    </row>
    <row r="84" spans="9:9" s="167" customFormat="1">
      <c r="I84"/>
    </row>
    <row r="85" spans="9:9" s="167" customFormat="1">
      <c r="I85"/>
    </row>
    <row r="86" spans="9:9" s="167" customFormat="1">
      <c r="I86"/>
    </row>
    <row r="87" spans="9:9" s="167" customFormat="1">
      <c r="I87"/>
    </row>
    <row r="88" spans="9:9" s="167" customFormat="1">
      <c r="I88"/>
    </row>
    <row r="89" spans="9:9" s="167" customFormat="1">
      <c r="I89"/>
    </row>
    <row r="90" spans="9:9" s="167" customFormat="1">
      <c r="I90"/>
    </row>
    <row r="91" spans="9:9" s="167" customFormat="1">
      <c r="I91"/>
    </row>
    <row r="92" spans="9:9" s="167" customFormat="1">
      <c r="I92"/>
    </row>
    <row r="93" spans="9:9" s="167" customFormat="1">
      <c r="I93"/>
    </row>
  </sheetData>
  <protectedRanges>
    <protectedRange sqref="A4" name="Range2"/>
    <protectedRange sqref="A44:A53 A33:A34 A36" name="Data Input"/>
    <protectedRange sqref="A6:G6" name="Range2_1_1"/>
    <protectedRange sqref="A6" name="Data Input_1_1"/>
    <protectedRange sqref="J6:P6" name="Range2_1_2"/>
    <protectedRange sqref="J6" name="Data Input_1_2"/>
  </protectedRanges>
  <mergeCells count="17">
    <mergeCell ref="C32:D32"/>
    <mergeCell ref="A5:H5"/>
    <mergeCell ref="A6:H6"/>
    <mergeCell ref="A7:H7"/>
    <mergeCell ref="A8:H8"/>
    <mergeCell ref="A9:A10"/>
    <mergeCell ref="H9:H10"/>
    <mergeCell ref="J31:Q31"/>
    <mergeCell ref="S8:Y8"/>
    <mergeCell ref="Y9:Y10"/>
    <mergeCell ref="J4:Y4"/>
    <mergeCell ref="J5:Q5"/>
    <mergeCell ref="J6:Q6"/>
    <mergeCell ref="J7:Q7"/>
    <mergeCell ref="J8:Q8"/>
    <mergeCell ref="J9:J10"/>
    <mergeCell ref="Q9:Q10"/>
  </mergeCells>
  <dataValidations count="1">
    <dataValidation type="list" allowBlank="1" showInputMessage="1" showErrorMessage="1" sqref="U6" xr:uid="{CD8427B6-5A7F-457B-A1EF-B394EB93D2B0}">
      <formula1>"% Var, $ Diff"</formula1>
    </dataValidation>
  </dataValidations>
  <pageMargins left="0.7" right="0.7" top="0.75" bottom="0.75" header="0.3" footer="0.3"/>
  <pageSetup scale="4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H142"/>
  <sheetViews>
    <sheetView showGridLines="0" zoomScale="85" zoomScaleNormal="85" workbookViewId="0">
      <pane xSplit="1" ySplit="10" topLeftCell="B11" activePane="bottomRight" state="frozen"/>
      <selection activeCell="C14" sqref="C14"/>
      <selection pane="topRight" activeCell="C14" sqref="C14"/>
      <selection pane="bottomLeft" activeCell="C14" sqref="C14"/>
      <selection pane="bottomRight" activeCell="A3" sqref="A3"/>
    </sheetView>
  </sheetViews>
  <sheetFormatPr defaultRowHeight="15"/>
  <cols>
    <col min="1" max="1" width="43.5703125" bestFit="1" customWidth="1"/>
    <col min="2" max="2" width="11.42578125" customWidth="1"/>
    <col min="3" max="8" width="11.28515625" customWidth="1"/>
    <col min="9" max="9" width="2.5703125" customWidth="1"/>
    <col min="14" max="14" width="9.7109375" bestFit="1" customWidth="1"/>
    <col min="17" max="17" width="2.5703125" customWidth="1"/>
    <col min="22" max="22" width="9.7109375" bestFit="1" customWidth="1"/>
    <col min="26" max="34" width="8.85546875" style="167"/>
  </cols>
  <sheetData>
    <row r="1" spans="1:24" ht="15.75">
      <c r="A1" s="336" t="s">
        <v>447</v>
      </c>
    </row>
    <row r="2" spans="1:24" ht="15.75">
      <c r="A2" s="336" t="s">
        <v>536</v>
      </c>
    </row>
    <row r="3" spans="1:24">
      <c r="A3" s="351" t="s">
        <v>446</v>
      </c>
      <c r="B3" s="347">
        <v>45474</v>
      </c>
      <c r="C3" s="287" t="s">
        <v>406</v>
      </c>
      <c r="D3" s="347">
        <v>45838</v>
      </c>
    </row>
    <row r="4" spans="1:24" ht="15.75">
      <c r="A4" s="302"/>
    </row>
    <row r="5" spans="1:24">
      <c r="A5" s="694" t="s">
        <v>124</v>
      </c>
      <c r="B5" s="657"/>
      <c r="C5" s="657"/>
      <c r="D5" s="657"/>
      <c r="E5" s="657"/>
      <c r="F5" s="657"/>
      <c r="G5" s="657"/>
      <c r="H5" s="657"/>
    </row>
    <row r="6" spans="1:24">
      <c r="A6" s="694" t="str">
        <f>Summary!C3</f>
        <v>Select Recharge Unit</v>
      </c>
      <c r="B6" s="657"/>
      <c r="C6" s="657"/>
      <c r="D6" s="657"/>
      <c r="E6" s="657"/>
      <c r="F6" s="657"/>
      <c r="G6" s="657"/>
      <c r="H6" s="657"/>
      <c r="K6" s="615" t="s">
        <v>550</v>
      </c>
      <c r="L6" s="616">
        <v>45474</v>
      </c>
      <c r="M6" s="287" t="s">
        <v>406</v>
      </c>
      <c r="N6" s="616"/>
      <c r="S6" s="351" t="s">
        <v>551</v>
      </c>
      <c r="T6" s="616"/>
      <c r="U6" s="287" t="s">
        <v>406</v>
      </c>
      <c r="V6" s="616">
        <v>45838</v>
      </c>
    </row>
    <row r="7" spans="1:24">
      <c r="A7" s="694" t="str">
        <f>"Projected "&amp;A2&amp;" Income Statement"</f>
        <v>Projected FY 2024-25 Income Statement</v>
      </c>
      <c r="B7" s="657"/>
      <c r="C7" s="657"/>
      <c r="D7" s="657"/>
      <c r="E7" s="657"/>
      <c r="F7" s="657"/>
      <c r="G7" s="657"/>
      <c r="H7" s="657"/>
    </row>
    <row r="8" spans="1:24">
      <c r="A8" s="695" t="s">
        <v>543</v>
      </c>
      <c r="B8" s="692"/>
      <c r="C8" s="692"/>
      <c r="D8" s="692"/>
      <c r="E8" s="692"/>
      <c r="F8" s="692"/>
      <c r="G8" s="692"/>
      <c r="H8" s="696"/>
      <c r="J8" s="648" t="s">
        <v>544</v>
      </c>
      <c r="K8" s="649"/>
      <c r="L8" s="649"/>
      <c r="M8" s="649"/>
      <c r="N8" s="649"/>
      <c r="O8" s="649"/>
      <c r="P8" s="650"/>
      <c r="R8" s="648" t="s">
        <v>545</v>
      </c>
      <c r="S8" s="649"/>
      <c r="T8" s="649"/>
      <c r="U8" s="649"/>
      <c r="V8" s="649"/>
      <c r="W8" s="649"/>
      <c r="X8" s="650"/>
    </row>
    <row r="9" spans="1:24">
      <c r="A9" s="690" t="s">
        <v>401</v>
      </c>
      <c r="B9" s="337" t="s">
        <v>389</v>
      </c>
      <c r="C9" s="337" t="s">
        <v>390</v>
      </c>
      <c r="D9" s="337" t="s">
        <v>391</v>
      </c>
      <c r="E9" s="337" t="s">
        <v>392</v>
      </c>
      <c r="F9" s="337" t="s">
        <v>393</v>
      </c>
      <c r="G9" s="337" t="s">
        <v>410</v>
      </c>
      <c r="H9" s="688" t="s">
        <v>25</v>
      </c>
      <c r="J9" s="337" t="s">
        <v>389</v>
      </c>
      <c r="K9" s="337" t="s">
        <v>390</v>
      </c>
      <c r="L9" s="337" t="s">
        <v>391</v>
      </c>
      <c r="M9" s="337" t="s">
        <v>392</v>
      </c>
      <c r="N9" s="337" t="s">
        <v>393</v>
      </c>
      <c r="O9" s="337" t="s">
        <v>410</v>
      </c>
      <c r="P9" s="688" t="s">
        <v>25</v>
      </c>
      <c r="R9" s="337" t="s">
        <v>389</v>
      </c>
      <c r="S9" s="337" t="s">
        <v>390</v>
      </c>
      <c r="T9" s="337" t="s">
        <v>391</v>
      </c>
      <c r="U9" s="337" t="s">
        <v>392</v>
      </c>
      <c r="V9" s="337" t="s">
        <v>393</v>
      </c>
      <c r="W9" s="337" t="s">
        <v>410</v>
      </c>
      <c r="X9" s="688" t="s">
        <v>25</v>
      </c>
    </row>
    <row r="10" spans="1:24" ht="60">
      <c r="A10" s="690"/>
      <c r="B10" s="329" t="str">
        <f>'Productive Hours'!$Q$4</f>
        <v>Ex: Per Acre</v>
      </c>
      <c r="C10" s="329" t="str">
        <f>'Productive Hours'!$Q$5</f>
        <v>Ex: Ground Prep Acre</v>
      </c>
      <c r="D10" s="329" t="str">
        <f>'Productive Hours'!$Q$6</f>
        <v>Ex: Direct Research</v>
      </c>
      <c r="E10" s="329" t="str">
        <f>'Productive Hours'!$Q$7</f>
        <v>Ex: Other Type</v>
      </c>
      <c r="F10" s="329" t="str">
        <f>'Productive Hours'!$Q$8</f>
        <v>Ex: Other Type 1</v>
      </c>
      <c r="G10" s="329" t="str">
        <f>'Productive Hours'!$Q$9</f>
        <v>Ex: Other Type 2</v>
      </c>
      <c r="H10" s="688"/>
      <c r="J10" s="329" t="str">
        <f>'Productive Hours'!$Q$4</f>
        <v>Ex: Per Acre</v>
      </c>
      <c r="K10" s="329" t="str">
        <f>'Productive Hours'!$Q$5</f>
        <v>Ex: Ground Prep Acre</v>
      </c>
      <c r="L10" s="329" t="str">
        <f>'Productive Hours'!$Q$6</f>
        <v>Ex: Direct Research</v>
      </c>
      <c r="M10" s="329" t="str">
        <f>'Productive Hours'!$Q$7</f>
        <v>Ex: Other Type</v>
      </c>
      <c r="N10" s="329" t="str">
        <f>'Productive Hours'!$Q$8</f>
        <v>Ex: Other Type 1</v>
      </c>
      <c r="O10" s="329" t="str">
        <f>'Productive Hours'!$Q$9</f>
        <v>Ex: Other Type 2</v>
      </c>
      <c r="P10" s="688"/>
      <c r="R10" s="329" t="str">
        <f>'Productive Hours'!$Q$4</f>
        <v>Ex: Per Acre</v>
      </c>
      <c r="S10" s="329" t="str">
        <f>'Productive Hours'!$Q$5</f>
        <v>Ex: Ground Prep Acre</v>
      </c>
      <c r="T10" s="329" t="str">
        <f>'Productive Hours'!$Q$6</f>
        <v>Ex: Direct Research</v>
      </c>
      <c r="U10" s="329" t="str">
        <f>'Productive Hours'!$Q$7</f>
        <v>Ex: Other Type</v>
      </c>
      <c r="V10" s="329" t="str">
        <f>'Productive Hours'!$Q$8</f>
        <v>Ex: Other Type 1</v>
      </c>
      <c r="W10" s="329" t="str">
        <f>'Productive Hours'!$Q$9</f>
        <v>Ex: Other Type 2</v>
      </c>
      <c r="X10" s="688"/>
    </row>
    <row r="11" spans="1:24">
      <c r="A11" s="338" t="s">
        <v>388</v>
      </c>
      <c r="B11" s="350">
        <f>J11+R11</f>
        <v>0</v>
      </c>
      <c r="C11" s="350">
        <f t="shared" ref="C11:G12" si="0">K11+S11</f>
        <v>0</v>
      </c>
      <c r="D11" s="350">
        <f t="shared" si="0"/>
        <v>0</v>
      </c>
      <c r="E11" s="350">
        <f t="shared" si="0"/>
        <v>0</v>
      </c>
      <c r="F11" s="350">
        <f t="shared" si="0"/>
        <v>0</v>
      </c>
      <c r="G11" s="350">
        <f t="shared" si="0"/>
        <v>0</v>
      </c>
      <c r="H11" s="310">
        <f>SUM(B11:G11)</f>
        <v>0</v>
      </c>
      <c r="J11" s="346"/>
      <c r="K11" s="346"/>
      <c r="L11" s="346"/>
      <c r="M11" s="346"/>
      <c r="N11" s="346"/>
      <c r="O11" s="346"/>
      <c r="P11" s="310">
        <f>SUM(J11:O11)</f>
        <v>0</v>
      </c>
      <c r="R11" s="346"/>
      <c r="S11" s="346"/>
      <c r="T11" s="346"/>
      <c r="U11" s="346"/>
      <c r="V11" s="346"/>
      <c r="W11" s="346"/>
      <c r="X11" s="310">
        <f>SUM(R11:W11)</f>
        <v>0</v>
      </c>
    </row>
    <row r="12" spans="1:24">
      <c r="A12" s="338" t="s">
        <v>396</v>
      </c>
      <c r="B12" s="350">
        <f>J12+R12</f>
        <v>0</v>
      </c>
      <c r="C12" s="350">
        <f t="shared" si="0"/>
        <v>0</v>
      </c>
      <c r="D12" s="350">
        <f t="shared" si="0"/>
        <v>0</v>
      </c>
      <c r="E12" s="350">
        <f t="shared" si="0"/>
        <v>0</v>
      </c>
      <c r="F12" s="350">
        <f t="shared" si="0"/>
        <v>0</v>
      </c>
      <c r="G12" s="350">
        <f t="shared" si="0"/>
        <v>0</v>
      </c>
      <c r="H12" s="310">
        <f>SUM(B12:G12)</f>
        <v>0</v>
      </c>
      <c r="J12" s="346"/>
      <c r="K12" s="346"/>
      <c r="L12" s="346"/>
      <c r="M12" s="346"/>
      <c r="N12" s="346"/>
      <c r="O12" s="346"/>
      <c r="P12" s="310">
        <f>SUM(J12:O12)</f>
        <v>0</v>
      </c>
      <c r="R12" s="346"/>
      <c r="S12" s="346"/>
      <c r="T12" s="346"/>
      <c r="U12" s="346"/>
      <c r="V12" s="346"/>
      <c r="W12" s="346"/>
      <c r="X12" s="310">
        <f>SUM(R12:W12)</f>
        <v>0</v>
      </c>
    </row>
    <row r="13" spans="1:24">
      <c r="A13" s="587" t="s">
        <v>533</v>
      </c>
      <c r="B13" s="350">
        <f>J13+R13</f>
        <v>0</v>
      </c>
      <c r="C13" s="350">
        <f t="shared" ref="C13" si="1">K13+S13</f>
        <v>0</v>
      </c>
      <c r="D13" s="350">
        <f t="shared" ref="D13" si="2">L13+T13</f>
        <v>0</v>
      </c>
      <c r="E13" s="350">
        <f t="shared" ref="E13" si="3">M13+U13</f>
        <v>0</v>
      </c>
      <c r="F13" s="350">
        <f t="shared" ref="F13" si="4">N13+V13</f>
        <v>0</v>
      </c>
      <c r="G13" s="350">
        <f t="shared" ref="G13" si="5">O13+W13</f>
        <v>0</v>
      </c>
      <c r="H13" s="310">
        <f>SUM(B13:G13)</f>
        <v>0</v>
      </c>
      <c r="J13" s="585"/>
      <c r="K13" s="585"/>
      <c r="L13" s="585"/>
      <c r="M13" s="585"/>
      <c r="N13" s="585"/>
      <c r="O13" s="585"/>
      <c r="P13" s="310">
        <f>SUM(J13:O13)</f>
        <v>0</v>
      </c>
      <c r="R13" s="585"/>
      <c r="S13" s="585"/>
      <c r="T13" s="585"/>
      <c r="U13" s="585"/>
      <c r="V13" s="585"/>
      <c r="W13" s="585"/>
      <c r="X13" s="310">
        <f>SUM(R13:W13)</f>
        <v>0</v>
      </c>
    </row>
    <row r="14" spans="1:24">
      <c r="A14" s="361" t="s">
        <v>448</v>
      </c>
      <c r="B14" s="362">
        <f>SUBTOTAL(9,B11:B13)</f>
        <v>0</v>
      </c>
      <c r="C14" s="362">
        <f t="shared" ref="C14:H14" si="6">SUBTOTAL(9,C11:C13)</f>
        <v>0</v>
      </c>
      <c r="D14" s="362">
        <f t="shared" si="6"/>
        <v>0</v>
      </c>
      <c r="E14" s="362">
        <f t="shared" si="6"/>
        <v>0</v>
      </c>
      <c r="F14" s="362">
        <f t="shared" si="6"/>
        <v>0</v>
      </c>
      <c r="G14" s="362">
        <f t="shared" si="6"/>
        <v>0</v>
      </c>
      <c r="H14" s="362">
        <f t="shared" si="6"/>
        <v>0</v>
      </c>
      <c r="J14" s="362">
        <f>SUBTOTAL(9,J11:J13)</f>
        <v>0</v>
      </c>
      <c r="K14" s="362">
        <f t="shared" ref="K14:X14" si="7">SUBTOTAL(9,K11:K13)</f>
        <v>0</v>
      </c>
      <c r="L14" s="362">
        <f t="shared" si="7"/>
        <v>0</v>
      </c>
      <c r="M14" s="362">
        <f t="shared" si="7"/>
        <v>0</v>
      </c>
      <c r="N14" s="362">
        <f t="shared" si="7"/>
        <v>0</v>
      </c>
      <c r="O14" s="362">
        <f t="shared" si="7"/>
        <v>0</v>
      </c>
      <c r="P14" s="362">
        <f t="shared" si="7"/>
        <v>0</v>
      </c>
      <c r="R14" s="362">
        <f t="shared" si="7"/>
        <v>0</v>
      </c>
      <c r="S14" s="362">
        <f t="shared" si="7"/>
        <v>0</v>
      </c>
      <c r="T14" s="362">
        <f t="shared" si="7"/>
        <v>0</v>
      </c>
      <c r="U14" s="362">
        <f t="shared" si="7"/>
        <v>0</v>
      </c>
      <c r="V14" s="362">
        <f t="shared" si="7"/>
        <v>0</v>
      </c>
      <c r="W14" s="362">
        <f t="shared" si="7"/>
        <v>0</v>
      </c>
      <c r="X14" s="362">
        <f t="shared" si="7"/>
        <v>0</v>
      </c>
    </row>
    <row r="15" spans="1:24">
      <c r="A15" s="339"/>
      <c r="B15" s="349"/>
      <c r="C15" s="349"/>
      <c r="D15" s="349"/>
      <c r="E15" s="349"/>
      <c r="F15" s="349"/>
      <c r="G15" s="349"/>
      <c r="H15" s="339"/>
      <c r="J15" s="339"/>
      <c r="K15" s="339"/>
      <c r="L15" s="339"/>
      <c r="M15" s="339"/>
      <c r="N15" s="339"/>
      <c r="O15" s="339"/>
      <c r="P15" s="339"/>
      <c r="R15" s="339"/>
      <c r="S15" s="339"/>
      <c r="T15" s="339"/>
      <c r="U15" s="339"/>
      <c r="V15" s="339"/>
      <c r="W15" s="339"/>
      <c r="X15" s="339"/>
    </row>
    <row r="16" spans="1:24">
      <c r="A16" s="340" t="s">
        <v>395</v>
      </c>
      <c r="B16" s="329"/>
      <c r="C16" s="329"/>
      <c r="D16" s="329"/>
      <c r="E16" s="329"/>
      <c r="F16" s="329"/>
      <c r="G16" s="329"/>
      <c r="H16" s="329"/>
      <c r="J16" s="329"/>
      <c r="K16" s="329"/>
      <c r="L16" s="329"/>
      <c r="M16" s="329"/>
      <c r="N16" s="329"/>
      <c r="O16" s="329"/>
      <c r="P16" s="329"/>
      <c r="R16" s="329"/>
      <c r="S16" s="329"/>
      <c r="T16" s="329"/>
      <c r="U16" s="329"/>
      <c r="V16" s="329"/>
      <c r="W16" s="329"/>
      <c r="X16" s="329"/>
    </row>
    <row r="17" spans="1:25">
      <c r="A17" s="341" t="s">
        <v>55</v>
      </c>
      <c r="B17" s="329"/>
      <c r="C17" s="329"/>
      <c r="D17" s="329"/>
      <c r="E17" s="329"/>
      <c r="F17" s="329"/>
      <c r="G17" s="329"/>
      <c r="H17" s="329"/>
      <c r="J17" s="329"/>
      <c r="K17" s="329"/>
      <c r="L17" s="329"/>
      <c r="M17" s="329"/>
      <c r="N17" s="329"/>
      <c r="O17" s="329"/>
      <c r="P17" s="329"/>
      <c r="R17" s="329"/>
      <c r="S17" s="329"/>
      <c r="T17" s="329"/>
      <c r="U17" s="329"/>
      <c r="V17" s="329"/>
      <c r="W17" s="329"/>
      <c r="X17" s="329"/>
    </row>
    <row r="18" spans="1:25">
      <c r="A18" s="342" t="s">
        <v>411</v>
      </c>
      <c r="B18" s="350">
        <f>J18+R18</f>
        <v>0</v>
      </c>
      <c r="C18" s="350">
        <f t="shared" ref="C18:C19" si="8">K18+S18</f>
        <v>0</v>
      </c>
      <c r="D18" s="350">
        <f t="shared" ref="D18:D19" si="9">L18+T18</f>
        <v>0</v>
      </c>
      <c r="E18" s="350">
        <f t="shared" ref="E18:E19" si="10">M18+U18</f>
        <v>0</v>
      </c>
      <c r="F18" s="350">
        <f t="shared" ref="F18:F19" si="11">N18+V18</f>
        <v>0</v>
      </c>
      <c r="G18" s="350">
        <f t="shared" ref="G18:G19" si="12">O18+W18</f>
        <v>0</v>
      </c>
      <c r="H18" s="310">
        <f>SUM(B18:G18)</f>
        <v>0</v>
      </c>
      <c r="J18" s="346"/>
      <c r="K18" s="346"/>
      <c r="L18" s="346"/>
      <c r="M18" s="346"/>
      <c r="N18" s="346"/>
      <c r="O18" s="346"/>
      <c r="P18" s="310">
        <f>SUM(J18:O18)</f>
        <v>0</v>
      </c>
      <c r="R18" s="346"/>
      <c r="S18" s="346"/>
      <c r="T18" s="346"/>
      <c r="U18" s="346"/>
      <c r="V18" s="346"/>
      <c r="W18" s="346"/>
      <c r="X18" s="310">
        <f>SUM(R18:W18)</f>
        <v>0</v>
      </c>
    </row>
    <row r="19" spans="1:25">
      <c r="A19" s="342" t="s">
        <v>397</v>
      </c>
      <c r="B19" s="350">
        <f>J19+R19</f>
        <v>0</v>
      </c>
      <c r="C19" s="350">
        <f t="shared" si="8"/>
        <v>0</v>
      </c>
      <c r="D19" s="350">
        <f t="shared" si="9"/>
        <v>0</v>
      </c>
      <c r="E19" s="350">
        <f t="shared" si="10"/>
        <v>0</v>
      </c>
      <c r="F19" s="350">
        <f t="shared" si="11"/>
        <v>0</v>
      </c>
      <c r="G19" s="350">
        <f t="shared" si="12"/>
        <v>0</v>
      </c>
      <c r="H19" s="310">
        <f t="shared" ref="H19" si="13">SUM(B19:G19)</f>
        <v>0</v>
      </c>
      <c r="J19" s="346"/>
      <c r="K19" s="346"/>
      <c r="L19" s="346"/>
      <c r="M19" s="346"/>
      <c r="N19" s="346"/>
      <c r="O19" s="346"/>
      <c r="P19" s="310">
        <f t="shared" ref="P19" si="14">SUM(J19:O19)</f>
        <v>0</v>
      </c>
      <c r="R19" s="346"/>
      <c r="S19" s="346"/>
      <c r="T19" s="346"/>
      <c r="U19" s="346"/>
      <c r="V19" s="346"/>
      <c r="W19" s="346"/>
      <c r="X19" s="310">
        <f t="shared" ref="X19" si="15">SUM(R19:W19)</f>
        <v>0</v>
      </c>
    </row>
    <row r="20" spans="1:25" ht="17.25" customHeight="1">
      <c r="A20" s="355" t="s">
        <v>449</v>
      </c>
      <c r="B20" s="356">
        <f>SUBTOTAL(9,B18:B19)</f>
        <v>0</v>
      </c>
      <c r="C20" s="356">
        <f t="shared" ref="C20:H20" si="16">SUBTOTAL(9,C18:C19)</f>
        <v>0</v>
      </c>
      <c r="D20" s="356">
        <f t="shared" si="16"/>
        <v>0</v>
      </c>
      <c r="E20" s="356">
        <f t="shared" si="16"/>
        <v>0</v>
      </c>
      <c r="F20" s="356">
        <f t="shared" si="16"/>
        <v>0</v>
      </c>
      <c r="G20" s="356">
        <f t="shared" si="16"/>
        <v>0</v>
      </c>
      <c r="H20" s="357">
        <f t="shared" si="16"/>
        <v>0</v>
      </c>
      <c r="J20" s="357">
        <f>SUBTOTAL(9,J18:J19)</f>
        <v>0</v>
      </c>
      <c r="K20" s="357">
        <f t="shared" ref="K20" si="17">SUBTOTAL(9,K18:K19)</f>
        <v>0</v>
      </c>
      <c r="L20" s="357">
        <f t="shared" ref="L20" si="18">SUBTOTAL(9,L18:L19)</f>
        <v>0</v>
      </c>
      <c r="M20" s="357">
        <f t="shared" ref="M20" si="19">SUBTOTAL(9,M18:M19)</f>
        <v>0</v>
      </c>
      <c r="N20" s="357">
        <f t="shared" ref="N20" si="20">SUBTOTAL(9,N18:N19)</f>
        <v>0</v>
      </c>
      <c r="O20" s="357">
        <f t="shared" ref="O20" si="21">SUBTOTAL(9,O18:O19)</f>
        <v>0</v>
      </c>
      <c r="P20" s="357">
        <f t="shared" ref="P20" si="22">SUBTOTAL(9,P18:P19)</f>
        <v>0</v>
      </c>
      <c r="R20" s="357">
        <f>SUBTOTAL(9,R18:R19)</f>
        <v>0</v>
      </c>
      <c r="S20" s="357">
        <f t="shared" ref="S20" si="23">SUBTOTAL(9,S18:S19)</f>
        <v>0</v>
      </c>
      <c r="T20" s="357">
        <f t="shared" ref="T20" si="24">SUBTOTAL(9,T18:T19)</f>
        <v>0</v>
      </c>
      <c r="U20" s="357">
        <f t="shared" ref="U20" si="25">SUBTOTAL(9,U18:U19)</f>
        <v>0</v>
      </c>
      <c r="V20" s="357">
        <f t="shared" ref="V20" si="26">SUBTOTAL(9,V18:V19)</f>
        <v>0</v>
      </c>
      <c r="W20" s="357">
        <f t="shared" ref="W20" si="27">SUBTOTAL(9,W18:W19)</f>
        <v>0</v>
      </c>
      <c r="X20" s="357">
        <f t="shared" ref="X20" si="28">SUBTOTAL(9,X18:X19)</f>
        <v>0</v>
      </c>
    </row>
    <row r="21" spans="1:25" ht="17.25" customHeight="1">
      <c r="A21" s="338" t="s">
        <v>450</v>
      </c>
      <c r="B21" s="348"/>
      <c r="C21" s="348"/>
      <c r="D21" s="348"/>
      <c r="E21" s="348"/>
      <c r="F21" s="348"/>
      <c r="G21" s="348"/>
      <c r="H21" s="344"/>
      <c r="J21" s="344"/>
      <c r="K21" s="344"/>
      <c r="L21" s="344"/>
      <c r="M21" s="344"/>
      <c r="N21" s="344"/>
      <c r="O21" s="344"/>
      <c r="P21" s="344"/>
      <c r="R21" s="344"/>
      <c r="S21" s="344"/>
      <c r="T21" s="344"/>
      <c r="U21" s="344"/>
      <c r="V21" s="344"/>
      <c r="W21" s="344"/>
      <c r="X21" s="344"/>
    </row>
    <row r="22" spans="1:25" ht="17.25" customHeight="1">
      <c r="A22" s="342" t="s">
        <v>57</v>
      </c>
      <c r="B22" s="350">
        <f t="shared" ref="B22:B24" si="29">J22+R22</f>
        <v>0</v>
      </c>
      <c r="C22" s="350">
        <f t="shared" ref="C22:C24" si="30">K22+S22</f>
        <v>0</v>
      </c>
      <c r="D22" s="350">
        <f t="shared" ref="D22:D24" si="31">L22+T22</f>
        <v>0</v>
      </c>
      <c r="E22" s="350">
        <f t="shared" ref="E22:E24" si="32">M22+U22</f>
        <v>0</v>
      </c>
      <c r="F22" s="350">
        <f t="shared" ref="F22:F24" si="33">N22+V22</f>
        <v>0</v>
      </c>
      <c r="G22" s="350">
        <f t="shared" ref="G22:G24" si="34">O22+W22</f>
        <v>0</v>
      </c>
      <c r="H22" s="310">
        <f t="shared" ref="H22:H25" si="35">SUM(B22:G22)</f>
        <v>0</v>
      </c>
      <c r="J22" s="346"/>
      <c r="K22" s="346"/>
      <c r="L22" s="346"/>
      <c r="M22" s="346"/>
      <c r="N22" s="346"/>
      <c r="O22" s="346"/>
      <c r="P22" s="310">
        <f t="shared" ref="P22:P25" si="36">SUM(J22:O22)</f>
        <v>0</v>
      </c>
      <c r="R22" s="346"/>
      <c r="S22" s="346"/>
      <c r="T22" s="346"/>
      <c r="U22" s="346"/>
      <c r="V22" s="346"/>
      <c r="W22" s="346"/>
      <c r="X22" s="310">
        <f t="shared" ref="X22:X25" si="37">SUM(R22:W22)</f>
        <v>0</v>
      </c>
    </row>
    <row r="23" spans="1:25" ht="17.25" customHeight="1">
      <c r="A23" s="342" t="s">
        <v>398</v>
      </c>
      <c r="B23" s="350">
        <f t="shared" si="29"/>
        <v>0</v>
      </c>
      <c r="C23" s="350">
        <f t="shared" si="30"/>
        <v>0</v>
      </c>
      <c r="D23" s="350">
        <f t="shared" si="31"/>
        <v>0</v>
      </c>
      <c r="E23" s="350">
        <f t="shared" si="32"/>
        <v>0</v>
      </c>
      <c r="F23" s="350">
        <f t="shared" si="33"/>
        <v>0</v>
      </c>
      <c r="G23" s="350">
        <f t="shared" si="34"/>
        <v>0</v>
      </c>
      <c r="H23" s="310">
        <f t="shared" si="35"/>
        <v>0</v>
      </c>
      <c r="J23" s="346"/>
      <c r="K23" s="346"/>
      <c r="L23" s="346"/>
      <c r="M23" s="346"/>
      <c r="N23" s="346"/>
      <c r="O23" s="346"/>
      <c r="P23" s="310">
        <f t="shared" si="36"/>
        <v>0</v>
      </c>
      <c r="R23" s="346"/>
      <c r="S23" s="346"/>
      <c r="T23" s="346"/>
      <c r="U23" s="346"/>
      <c r="V23" s="346"/>
      <c r="W23" s="346"/>
      <c r="X23" s="310">
        <f t="shared" si="37"/>
        <v>0</v>
      </c>
    </row>
    <row r="24" spans="1:25" ht="17.25" customHeight="1">
      <c r="A24" s="342" t="s">
        <v>399</v>
      </c>
      <c r="B24" s="350">
        <f t="shared" si="29"/>
        <v>0</v>
      </c>
      <c r="C24" s="350">
        <f t="shared" si="30"/>
        <v>0</v>
      </c>
      <c r="D24" s="350">
        <f t="shared" si="31"/>
        <v>0</v>
      </c>
      <c r="E24" s="350">
        <f t="shared" si="32"/>
        <v>0</v>
      </c>
      <c r="F24" s="350">
        <f t="shared" si="33"/>
        <v>0</v>
      </c>
      <c r="G24" s="350">
        <f t="shared" si="34"/>
        <v>0</v>
      </c>
      <c r="H24" s="310">
        <f t="shared" si="35"/>
        <v>0</v>
      </c>
      <c r="J24" s="346"/>
      <c r="K24" s="346"/>
      <c r="L24" s="346"/>
      <c r="M24" s="346"/>
      <c r="N24" s="346"/>
      <c r="O24" s="346"/>
      <c r="P24" s="310">
        <f t="shared" si="36"/>
        <v>0</v>
      </c>
      <c r="R24" s="346"/>
      <c r="S24" s="346"/>
      <c r="T24" s="346"/>
      <c r="U24" s="346"/>
      <c r="V24" s="346"/>
      <c r="W24" s="346"/>
      <c r="X24" s="310">
        <f t="shared" si="37"/>
        <v>0</v>
      </c>
    </row>
    <row r="25" spans="1:25" ht="17.25" customHeight="1">
      <c r="A25" s="586" t="s">
        <v>534</v>
      </c>
      <c r="B25" s="350">
        <f t="shared" ref="B25" si="38">J25+R25</f>
        <v>0</v>
      </c>
      <c r="C25" s="350">
        <f t="shared" ref="C25" si="39">K25+S25</f>
        <v>0</v>
      </c>
      <c r="D25" s="350">
        <f t="shared" ref="D25" si="40">L25+T25</f>
        <v>0</v>
      </c>
      <c r="E25" s="350">
        <f t="shared" ref="E25" si="41">M25+U25</f>
        <v>0</v>
      </c>
      <c r="F25" s="350">
        <f t="shared" ref="F25" si="42">N25+V25</f>
        <v>0</v>
      </c>
      <c r="G25" s="350">
        <f t="shared" ref="G25" si="43">O25+W25</f>
        <v>0</v>
      </c>
      <c r="H25" s="310">
        <f t="shared" si="35"/>
        <v>0</v>
      </c>
      <c r="J25" s="585"/>
      <c r="K25" s="585"/>
      <c r="L25" s="585"/>
      <c r="M25" s="585"/>
      <c r="N25" s="585"/>
      <c r="O25" s="585"/>
      <c r="P25" s="310">
        <f t="shared" si="36"/>
        <v>0</v>
      </c>
      <c r="R25" s="585"/>
      <c r="S25" s="585"/>
      <c r="T25" s="585"/>
      <c r="U25" s="585"/>
      <c r="V25" s="585"/>
      <c r="W25" s="585"/>
      <c r="X25" s="310">
        <f t="shared" si="37"/>
        <v>0</v>
      </c>
    </row>
    <row r="26" spans="1:25" ht="17.25" customHeight="1">
      <c r="A26" s="355" t="s">
        <v>451</v>
      </c>
      <c r="B26" s="357">
        <f>SUBTOTAL(9,B22:B25)</f>
        <v>0</v>
      </c>
      <c r="C26" s="357">
        <f t="shared" ref="C26:H26" si="44">SUBTOTAL(9,C22:C25)</f>
        <v>0</v>
      </c>
      <c r="D26" s="357">
        <f t="shared" si="44"/>
        <v>0</v>
      </c>
      <c r="E26" s="357">
        <f t="shared" si="44"/>
        <v>0</v>
      </c>
      <c r="F26" s="357">
        <f t="shared" si="44"/>
        <v>0</v>
      </c>
      <c r="G26" s="357">
        <f t="shared" si="44"/>
        <v>0</v>
      </c>
      <c r="H26" s="357">
        <f t="shared" si="44"/>
        <v>0</v>
      </c>
      <c r="J26" s="357">
        <f t="shared" ref="J26:P26" si="45">SUBTOTAL(9,J22:J25)</f>
        <v>0</v>
      </c>
      <c r="K26" s="357">
        <f t="shared" si="45"/>
        <v>0</v>
      </c>
      <c r="L26" s="357">
        <f t="shared" si="45"/>
        <v>0</v>
      </c>
      <c r="M26" s="357">
        <f t="shared" si="45"/>
        <v>0</v>
      </c>
      <c r="N26" s="357">
        <f t="shared" si="45"/>
        <v>0</v>
      </c>
      <c r="O26" s="357">
        <f t="shared" si="45"/>
        <v>0</v>
      </c>
      <c r="P26" s="357">
        <f t="shared" si="45"/>
        <v>0</v>
      </c>
      <c r="R26" s="357">
        <f t="shared" ref="R26" si="46">SUBTOTAL(9,R22:R25)</f>
        <v>0</v>
      </c>
      <c r="S26" s="357">
        <f t="shared" ref="S26" si="47">SUBTOTAL(9,S22:S25)</f>
        <v>0</v>
      </c>
      <c r="T26" s="357">
        <f t="shared" ref="T26" si="48">SUBTOTAL(9,T22:T25)</f>
        <v>0</v>
      </c>
      <c r="U26" s="357">
        <f t="shared" ref="U26" si="49">SUBTOTAL(9,U22:U25)</f>
        <v>0</v>
      </c>
      <c r="V26" s="357">
        <f t="shared" ref="V26" si="50">SUBTOTAL(9,V22:V25)</f>
        <v>0</v>
      </c>
      <c r="W26" s="357">
        <f t="shared" ref="W26" si="51">SUBTOTAL(9,W22:W25)</f>
        <v>0</v>
      </c>
      <c r="X26" s="357">
        <f t="shared" ref="X26" si="52">SUBTOTAL(9,X22:X25)</f>
        <v>0</v>
      </c>
    </row>
    <row r="27" spans="1:25" ht="17.25" customHeight="1">
      <c r="A27" s="313" t="s">
        <v>452</v>
      </c>
      <c r="B27" s="359">
        <f>SUBTOTAL(9,B17:B26)</f>
        <v>0</v>
      </c>
      <c r="C27" s="359">
        <f t="shared" ref="C27:H27" si="53">SUBTOTAL(9,C17:C26)</f>
        <v>0</v>
      </c>
      <c r="D27" s="359">
        <f t="shared" si="53"/>
        <v>0</v>
      </c>
      <c r="E27" s="359">
        <f t="shared" si="53"/>
        <v>0</v>
      </c>
      <c r="F27" s="359">
        <f t="shared" si="53"/>
        <v>0</v>
      </c>
      <c r="G27" s="359">
        <f t="shared" si="53"/>
        <v>0</v>
      </c>
      <c r="H27" s="359">
        <f t="shared" si="53"/>
        <v>0</v>
      </c>
      <c r="J27" s="359">
        <f>SUBTOTAL(9,J17:J26)</f>
        <v>0</v>
      </c>
      <c r="K27" s="359">
        <f t="shared" ref="K27" si="54">SUBTOTAL(9,K17:K26)</f>
        <v>0</v>
      </c>
      <c r="L27" s="359">
        <f t="shared" ref="L27" si="55">SUBTOTAL(9,L17:L26)</f>
        <v>0</v>
      </c>
      <c r="M27" s="359">
        <f t="shared" ref="M27" si="56">SUBTOTAL(9,M17:M26)</f>
        <v>0</v>
      </c>
      <c r="N27" s="359">
        <f t="shared" ref="N27" si="57">SUBTOTAL(9,N17:N26)</f>
        <v>0</v>
      </c>
      <c r="O27" s="359">
        <f t="shared" ref="O27" si="58">SUBTOTAL(9,O17:O26)</f>
        <v>0</v>
      </c>
      <c r="P27" s="359">
        <f t="shared" ref="P27" si="59">SUBTOTAL(9,P17:P26)</f>
        <v>0</v>
      </c>
      <c r="R27" s="359">
        <f>SUBTOTAL(9,R17:R26)</f>
        <v>0</v>
      </c>
      <c r="S27" s="359">
        <f t="shared" ref="S27" si="60">SUBTOTAL(9,S17:S26)</f>
        <v>0</v>
      </c>
      <c r="T27" s="359">
        <f t="shared" ref="T27" si="61">SUBTOTAL(9,T17:T26)</f>
        <v>0</v>
      </c>
      <c r="U27" s="359">
        <f t="shared" ref="U27" si="62">SUBTOTAL(9,U17:U26)</f>
        <v>0</v>
      </c>
      <c r="V27" s="359">
        <f t="shared" ref="V27" si="63">SUBTOTAL(9,V17:V26)</f>
        <v>0</v>
      </c>
      <c r="W27" s="359">
        <f t="shared" ref="W27" si="64">SUBTOTAL(9,W17:W26)</f>
        <v>0</v>
      </c>
      <c r="X27" s="359">
        <f>SUBTOTAL(9,X17:X26)</f>
        <v>0</v>
      </c>
    </row>
    <row r="28" spans="1:25" ht="17.25" customHeight="1">
      <c r="A28" s="12"/>
      <c r="B28" s="12"/>
      <c r="C28" s="12"/>
      <c r="D28" s="12"/>
      <c r="E28" s="12"/>
      <c r="F28" s="12"/>
      <c r="G28" s="12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</row>
    <row r="29" spans="1:25" ht="17.25" customHeight="1" thickBot="1">
      <c r="A29" s="472" t="s">
        <v>387</v>
      </c>
      <c r="B29" s="473">
        <f t="shared" ref="B29:H29" si="65">B14-B27</f>
        <v>0</v>
      </c>
      <c r="C29" s="473">
        <f t="shared" si="65"/>
        <v>0</v>
      </c>
      <c r="D29" s="473">
        <f t="shared" si="65"/>
        <v>0</v>
      </c>
      <c r="E29" s="473">
        <f t="shared" si="65"/>
        <v>0</v>
      </c>
      <c r="F29" s="473">
        <f t="shared" si="65"/>
        <v>0</v>
      </c>
      <c r="G29" s="473">
        <f t="shared" si="65"/>
        <v>0</v>
      </c>
      <c r="H29" s="473">
        <f t="shared" si="65"/>
        <v>0</v>
      </c>
      <c r="J29" s="473">
        <f t="shared" ref="J29:P29" si="66">J14-J27</f>
        <v>0</v>
      </c>
      <c r="K29" s="473">
        <f t="shared" si="66"/>
        <v>0</v>
      </c>
      <c r="L29" s="473">
        <f t="shared" si="66"/>
        <v>0</v>
      </c>
      <c r="M29" s="473">
        <f t="shared" si="66"/>
        <v>0</v>
      </c>
      <c r="N29" s="473">
        <f t="shared" si="66"/>
        <v>0</v>
      </c>
      <c r="O29" s="473">
        <f t="shared" si="66"/>
        <v>0</v>
      </c>
      <c r="P29" s="473">
        <f t="shared" si="66"/>
        <v>0</v>
      </c>
      <c r="R29" s="473">
        <f t="shared" ref="R29:X29" si="67">R14-R27</f>
        <v>0</v>
      </c>
      <c r="S29" s="473">
        <f t="shared" si="67"/>
        <v>0</v>
      </c>
      <c r="T29" s="473">
        <f t="shared" si="67"/>
        <v>0</v>
      </c>
      <c r="U29" s="473">
        <f t="shared" si="67"/>
        <v>0</v>
      </c>
      <c r="V29" s="473">
        <f t="shared" si="67"/>
        <v>0</v>
      </c>
      <c r="W29" s="473">
        <f t="shared" si="67"/>
        <v>0</v>
      </c>
      <c r="X29" s="473">
        <f t="shared" si="67"/>
        <v>0</v>
      </c>
    </row>
    <row r="30" spans="1:25" ht="17.25" customHeight="1" thickTop="1"/>
    <row r="31" spans="1:25" s="167" customFormat="1" ht="17.25" customHeight="1"/>
    <row r="32" spans="1:25" s="167" customFormat="1" ht="17.25" customHeight="1"/>
    <row r="33" spans="9:9" s="167" customFormat="1" ht="17.25" customHeight="1"/>
    <row r="34" spans="9:9" s="167" customFormat="1" ht="17.25" customHeight="1"/>
    <row r="35" spans="9:9" s="167" customFormat="1" ht="17.25" customHeight="1"/>
    <row r="36" spans="9:9" s="167" customFormat="1" ht="17.25" customHeight="1"/>
    <row r="37" spans="9:9" s="167" customFormat="1"/>
    <row r="38" spans="9:9" s="167" customFormat="1"/>
    <row r="39" spans="9:9" s="167" customFormat="1">
      <c r="I39" s="509"/>
    </row>
    <row r="40" spans="9:9" s="167" customFormat="1"/>
    <row r="41" spans="9:9" s="167" customFormat="1"/>
    <row r="42" spans="9:9" s="167" customFormat="1"/>
    <row r="43" spans="9:9" s="167" customFormat="1"/>
    <row r="44" spans="9:9" s="167" customFormat="1"/>
    <row r="45" spans="9:9" s="167" customFormat="1"/>
    <row r="46" spans="9:9" s="167" customFormat="1"/>
    <row r="47" spans="9:9" s="167" customFormat="1"/>
    <row r="48" spans="9:9" s="167" customFormat="1"/>
    <row r="49" s="167" customFormat="1"/>
    <row r="50" s="167" customFormat="1"/>
    <row r="51" s="167" customFormat="1"/>
    <row r="52" s="167" customFormat="1"/>
    <row r="53" s="167" customFormat="1"/>
    <row r="54" s="167" customFormat="1"/>
    <row r="55" s="167" customFormat="1"/>
    <row r="56" s="167" customFormat="1"/>
    <row r="57" s="167" customFormat="1"/>
    <row r="58" s="167" customFormat="1"/>
    <row r="59" s="167" customFormat="1"/>
    <row r="60" s="167" customFormat="1"/>
    <row r="61" s="167" customFormat="1"/>
    <row r="62" s="167" customFormat="1"/>
    <row r="63" s="167" customFormat="1"/>
    <row r="64" s="167" customFormat="1"/>
    <row r="65" s="167" customFormat="1"/>
    <row r="66" s="167" customFormat="1"/>
    <row r="67" s="167" customFormat="1"/>
    <row r="68" s="167" customFormat="1"/>
    <row r="69" s="167" customFormat="1"/>
    <row r="70" s="167" customFormat="1"/>
    <row r="71" s="167" customFormat="1"/>
    <row r="72" s="167" customFormat="1"/>
    <row r="73" s="167" customFormat="1"/>
    <row r="74" s="167" customFormat="1"/>
    <row r="75" s="167" customFormat="1"/>
    <row r="76" s="167" customFormat="1"/>
    <row r="77" s="167" customFormat="1"/>
    <row r="78" s="167" customFormat="1"/>
    <row r="79" s="167" customFormat="1"/>
    <row r="80" s="167" customFormat="1"/>
    <row r="81" s="167" customFormat="1"/>
    <row r="82" s="167" customFormat="1"/>
    <row r="83" s="167" customFormat="1"/>
    <row r="84" s="167" customFormat="1"/>
    <row r="85" s="167" customFormat="1"/>
    <row r="86" s="167" customFormat="1"/>
    <row r="87" s="167" customFormat="1"/>
    <row r="88" s="167" customFormat="1"/>
    <row r="89" s="167" customFormat="1"/>
    <row r="90" s="167" customFormat="1"/>
    <row r="91" s="167" customFormat="1"/>
    <row r="92" s="167" customFormat="1"/>
    <row r="93" s="167" customFormat="1"/>
    <row r="94" s="167" customFormat="1"/>
    <row r="95" s="167" customFormat="1"/>
    <row r="96" s="167" customFormat="1"/>
    <row r="97" s="167" customFormat="1"/>
    <row r="98" s="167" customFormat="1"/>
    <row r="99" s="167" customFormat="1"/>
    <row r="100" s="167" customFormat="1"/>
    <row r="101" s="167" customFormat="1"/>
    <row r="102" s="167" customFormat="1"/>
    <row r="103" s="167" customFormat="1"/>
    <row r="104" s="167" customFormat="1"/>
    <row r="105" s="167" customFormat="1"/>
    <row r="106" s="167" customFormat="1"/>
    <row r="107" s="167" customFormat="1"/>
    <row r="108" s="167" customFormat="1"/>
    <row r="109" s="167" customFormat="1"/>
    <row r="110" s="167" customFormat="1"/>
    <row r="111" s="167" customFormat="1"/>
    <row r="112" s="167" customFormat="1"/>
    <row r="113" s="167" customFormat="1"/>
    <row r="114" s="167" customFormat="1"/>
    <row r="115" s="167" customFormat="1"/>
    <row r="116" s="167" customFormat="1"/>
    <row r="117" s="167" customFormat="1"/>
    <row r="118" s="167" customFormat="1"/>
    <row r="119" s="167" customFormat="1"/>
    <row r="120" s="167" customFormat="1"/>
    <row r="121" s="167" customFormat="1"/>
    <row r="122" s="167" customFormat="1"/>
    <row r="123" s="167" customFormat="1"/>
    <row r="124" s="167" customFormat="1"/>
    <row r="125" s="167" customFormat="1"/>
    <row r="126" s="167" customFormat="1"/>
    <row r="127" s="167" customFormat="1"/>
    <row r="128" s="167" customFormat="1"/>
    <row r="129" s="167" customFormat="1"/>
    <row r="130" s="167" customFormat="1"/>
    <row r="131" s="167" customFormat="1"/>
    <row r="132" s="167" customFormat="1"/>
    <row r="133" s="167" customFormat="1"/>
    <row r="134" s="167" customFormat="1"/>
    <row r="135" s="167" customFormat="1"/>
    <row r="136" s="167" customFormat="1"/>
    <row r="137" s="167" customFormat="1"/>
    <row r="138" s="167" customFormat="1"/>
    <row r="139" s="167" customFormat="1"/>
    <row r="140" s="167" customFormat="1"/>
    <row r="141" s="167" customFormat="1"/>
    <row r="142" s="167" customFormat="1"/>
  </sheetData>
  <protectedRanges>
    <protectedRange sqref="A45:A54 I39" name="Data Input"/>
    <protectedRange sqref="A6:G6" name="Range2_1"/>
    <protectedRange sqref="A6" name="Data Input_1"/>
  </protectedRanges>
  <mergeCells count="10">
    <mergeCell ref="P9:P10"/>
    <mergeCell ref="X9:X10"/>
    <mergeCell ref="J8:P8"/>
    <mergeCell ref="R8:X8"/>
    <mergeCell ref="A5:H5"/>
    <mergeCell ref="A6:H6"/>
    <mergeCell ref="A7:H7"/>
    <mergeCell ref="A8:H8"/>
    <mergeCell ref="A9:A10"/>
    <mergeCell ref="H9:H10"/>
  </mergeCells>
  <pageMargins left="0.7" right="0.7" top="0.75" bottom="0.75" header="0.3" footer="0.3"/>
  <pageSetup scale="4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9"/>
  <sheetViews>
    <sheetView workbookViewId="0">
      <selection sqref="A1:A9"/>
    </sheetView>
  </sheetViews>
  <sheetFormatPr defaultRowHeight="15"/>
  <sheetData>
    <row r="1" spans="1:1">
      <c r="A1" s="298" t="s">
        <v>375</v>
      </c>
    </row>
    <row r="2" spans="1:1">
      <c r="A2" s="298" t="s">
        <v>376</v>
      </c>
    </row>
    <row r="3" spans="1:1">
      <c r="A3" s="298" t="s">
        <v>377</v>
      </c>
    </row>
    <row r="4" spans="1:1">
      <c r="A4" s="298" t="s">
        <v>378</v>
      </c>
    </row>
    <row r="5" spans="1:1">
      <c r="A5" s="298" t="s">
        <v>379</v>
      </c>
    </row>
    <row r="6" spans="1:1">
      <c r="A6" s="298" t="s">
        <v>380</v>
      </c>
    </row>
    <row r="7" spans="1:1">
      <c r="A7" s="298" t="s">
        <v>381</v>
      </c>
    </row>
    <row r="8" spans="1:1">
      <c r="A8" s="298" t="s">
        <v>382</v>
      </c>
    </row>
    <row r="9" spans="1:1">
      <c r="A9" s="298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118"/>
  <sheetViews>
    <sheetView showGridLines="0" tabSelected="1" zoomScale="85" zoomScaleNormal="85" workbookViewId="0">
      <pane ySplit="7" topLeftCell="A8" activePane="bottomLeft" state="frozen"/>
      <selection pane="bottomLeft" activeCell="B9" sqref="B9"/>
    </sheetView>
  </sheetViews>
  <sheetFormatPr defaultColWidth="11.42578125" defaultRowHeight="15"/>
  <cols>
    <col min="1" max="1" width="8.140625" style="287" customWidth="1"/>
    <col min="2" max="2" width="23.85546875" style="287" bestFit="1" customWidth="1"/>
    <col min="3" max="3" width="10.42578125" style="109" bestFit="1" customWidth="1"/>
    <col min="4" max="4" width="22.7109375" bestFit="1" customWidth="1"/>
    <col min="5" max="5" width="15" bestFit="1" customWidth="1"/>
    <col min="6" max="6" width="42.42578125" bestFit="1" customWidth="1"/>
    <col min="7" max="7" width="15" style="10" customWidth="1"/>
    <col min="8" max="8" width="15" customWidth="1"/>
    <col min="9" max="9" width="15" style="629" customWidth="1"/>
    <col min="10" max="10" width="10.5703125" bestFit="1" customWidth="1"/>
    <col min="11" max="11" width="12.5703125" style="629" bestFit="1" customWidth="1"/>
    <col min="12" max="12" width="12.85546875" customWidth="1"/>
    <col min="13" max="13" width="15" style="638" customWidth="1"/>
    <col min="14" max="15" width="12.42578125" bestFit="1" customWidth="1"/>
    <col min="16" max="16" width="11.5703125" bestFit="1" customWidth="1"/>
    <col min="17" max="17" width="1.5703125" customWidth="1"/>
    <col min="18" max="18" width="10.85546875" bestFit="1" customWidth="1"/>
    <col min="19" max="19" width="13.7109375" customWidth="1"/>
    <col min="20" max="34" width="11.42578125" style="167"/>
  </cols>
  <sheetData>
    <row r="1" spans="1:34" ht="15.75">
      <c r="A1" s="410" t="s">
        <v>479</v>
      </c>
      <c r="B1" s="410"/>
      <c r="C1"/>
      <c r="F1" s="566" t="s">
        <v>546</v>
      </c>
    </row>
    <row r="2" spans="1:34">
      <c r="A2" s="21" t="s">
        <v>478</v>
      </c>
      <c r="B2" s="21"/>
      <c r="C2" s="414"/>
      <c r="D2" s="367"/>
      <c r="E2" s="367"/>
      <c r="F2" s="367"/>
      <c r="G2" s="368"/>
      <c r="H2" s="69"/>
      <c r="I2" s="630"/>
      <c r="J2" s="69"/>
      <c r="K2" s="630"/>
      <c r="L2" s="69"/>
      <c r="M2" s="639"/>
      <c r="N2" s="69"/>
      <c r="O2" s="69"/>
    </row>
    <row r="3" spans="1:34">
      <c r="A3" s="21" t="s">
        <v>477</v>
      </c>
      <c r="B3" s="21"/>
      <c r="C3" s="414"/>
      <c r="D3" s="289"/>
      <c r="E3" s="289"/>
      <c r="F3" s="289"/>
      <c r="G3" s="415"/>
    </row>
    <row r="4" spans="1:34">
      <c r="A4" s="325" t="str">
        <f>Summary!C3</f>
        <v>Select Recharge Unit</v>
      </c>
      <c r="B4" s="21"/>
      <c r="C4" s="414"/>
      <c r="D4" s="289"/>
      <c r="E4" s="289"/>
      <c r="F4" s="289"/>
      <c r="G4" s="415"/>
    </row>
    <row r="5" spans="1:34">
      <c r="C5" s="414"/>
      <c r="D5" s="367"/>
      <c r="E5" s="367"/>
      <c r="F5" s="367"/>
      <c r="G5" s="368"/>
      <c r="H5" s="367"/>
      <c r="I5" s="630"/>
      <c r="J5" s="69"/>
      <c r="K5" s="630"/>
      <c r="L5" s="69"/>
      <c r="M5" s="639"/>
      <c r="N5" s="69"/>
      <c r="O5" s="69"/>
    </row>
    <row r="6" spans="1:34">
      <c r="A6" s="648" t="s">
        <v>558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50"/>
    </row>
    <row r="7" spans="1:34" s="287" customFormat="1" ht="45">
      <c r="A7" s="618" t="s">
        <v>486</v>
      </c>
      <c r="B7" s="618" t="s">
        <v>484</v>
      </c>
      <c r="C7" s="618" t="s">
        <v>6</v>
      </c>
      <c r="D7" s="618" t="s">
        <v>485</v>
      </c>
      <c r="E7" s="618" t="s">
        <v>521</v>
      </c>
      <c r="F7" s="619" t="s">
        <v>2</v>
      </c>
      <c r="G7" s="620" t="s">
        <v>131</v>
      </c>
      <c r="H7" s="619" t="s">
        <v>367</v>
      </c>
      <c r="I7" s="631" t="s">
        <v>563</v>
      </c>
      <c r="J7" s="619" t="s">
        <v>560</v>
      </c>
      <c r="K7" s="631" t="s">
        <v>488</v>
      </c>
      <c r="L7" s="619" t="s">
        <v>480</v>
      </c>
      <c r="M7" s="631" t="s">
        <v>397</v>
      </c>
      <c r="N7" s="619" t="s">
        <v>481</v>
      </c>
      <c r="O7" s="619" t="s">
        <v>482</v>
      </c>
      <c r="P7" s="619" t="s">
        <v>483</v>
      </c>
      <c r="Q7" s="416"/>
      <c r="R7" s="621" t="s">
        <v>562</v>
      </c>
      <c r="S7" s="287" t="s">
        <v>547</v>
      </c>
      <c r="T7" s="506"/>
      <c r="U7" s="506"/>
      <c r="V7" s="506"/>
      <c r="W7" s="506"/>
      <c r="X7" s="506"/>
      <c r="Y7" s="506"/>
      <c r="Z7" s="506"/>
      <c r="AA7" s="506"/>
      <c r="AB7" s="506"/>
      <c r="AC7" s="506"/>
      <c r="AD7" s="506"/>
      <c r="AE7" s="506"/>
      <c r="AF7" s="506"/>
      <c r="AG7" s="506"/>
      <c r="AH7" s="506"/>
    </row>
    <row r="8" spans="1:34">
      <c r="A8" s="419">
        <v>1</v>
      </c>
      <c r="B8" s="594"/>
      <c r="C8" s="595"/>
      <c r="D8" s="595"/>
      <c r="E8" s="595"/>
      <c r="F8" s="407" t="str">
        <f>_xlfn.CONCAT(B8," ",C8," ",D8," ",E8)</f>
        <v xml:space="preserve">   </v>
      </c>
      <c r="G8" s="562"/>
      <c r="H8" s="561"/>
      <c r="I8" s="628"/>
      <c r="J8" s="443" t="s">
        <v>561</v>
      </c>
      <c r="K8" s="637">
        <f>ROUND((G8)*H8*I8,0)</f>
        <v>0</v>
      </c>
      <c r="L8" s="420"/>
      <c r="M8" s="310">
        <f>ROUND(K8*L8,0)</f>
        <v>0</v>
      </c>
      <c r="N8" s="421"/>
      <c r="O8" s="596">
        <f>N8*K8</f>
        <v>0</v>
      </c>
      <c r="P8" s="310">
        <f>+O8+M8+K8</f>
        <v>0</v>
      </c>
      <c r="Q8" s="288"/>
      <c r="R8" s="422">
        <f>G8*H8/12</f>
        <v>0</v>
      </c>
    </row>
    <row r="9" spans="1:34">
      <c r="A9" s="419"/>
      <c r="B9" s="594"/>
      <c r="C9" s="595"/>
      <c r="D9" s="595"/>
      <c r="E9" s="595"/>
      <c r="F9" s="605" t="str">
        <f>F8</f>
        <v xml:space="preserve">   </v>
      </c>
      <c r="G9" s="562"/>
      <c r="H9" s="561"/>
      <c r="I9" s="628"/>
      <c r="J9" s="443" t="s">
        <v>561</v>
      </c>
      <c r="K9" s="637">
        <f>ROUND((G9)*H9*I9,0)</f>
        <v>0</v>
      </c>
      <c r="L9" s="420"/>
      <c r="M9" s="310">
        <f>ROUND(K9*L9,0)</f>
        <v>0</v>
      </c>
      <c r="N9" s="421"/>
      <c r="O9" s="596">
        <f>N9*K9</f>
        <v>0</v>
      </c>
      <c r="P9" s="310">
        <f>+O9+M9+K9</f>
        <v>0</v>
      </c>
      <c r="Q9" s="288"/>
      <c r="R9" s="422">
        <f>G9*H9/12</f>
        <v>0</v>
      </c>
    </row>
    <row r="10" spans="1:34">
      <c r="A10" s="430"/>
      <c r="B10" s="563"/>
      <c r="C10" s="563"/>
      <c r="D10" s="563"/>
      <c r="E10" s="563"/>
      <c r="F10" s="446"/>
      <c r="G10" s="446"/>
      <c r="H10" s="604"/>
      <c r="I10" s="632"/>
      <c r="J10" s="446"/>
      <c r="K10" s="632"/>
      <c r="L10" s="446"/>
      <c r="M10" s="632"/>
      <c r="N10" s="446"/>
      <c r="O10" s="503"/>
      <c r="P10" s="599"/>
      <c r="Q10" s="411"/>
      <c r="R10" s="423">
        <f>SUBTOTAL(9,R8:R9)</f>
        <v>0</v>
      </c>
    </row>
    <row r="11" spans="1:34">
      <c r="A11" s="419">
        <v>2</v>
      </c>
      <c r="B11" s="594"/>
      <c r="C11" s="595"/>
      <c r="D11" s="595"/>
      <c r="E11" s="595"/>
      <c r="F11" s="407" t="str">
        <f>_xlfn.CONCAT(B11," ",C11," ",D11," ",E11)</f>
        <v xml:space="preserve">   </v>
      </c>
      <c r="G11" s="562"/>
      <c r="H11" s="561"/>
      <c r="I11" s="628"/>
      <c r="J11" s="443" t="s">
        <v>561</v>
      </c>
      <c r="K11" s="637">
        <f>ROUND((G11)*H11*I11,0)</f>
        <v>0</v>
      </c>
      <c r="L11" s="420"/>
      <c r="M11" s="310">
        <f>ROUND(K11*L11,0)</f>
        <v>0</v>
      </c>
      <c r="N11" s="421"/>
      <c r="O11" s="596">
        <f>N11*K11</f>
        <v>0</v>
      </c>
      <c r="P11" s="310">
        <f t="shared" ref="P11:P66" si="0">+O11+M11+K11</f>
        <v>0</v>
      </c>
      <c r="Q11" s="288"/>
      <c r="R11" s="422">
        <f>G11*H11/12</f>
        <v>0</v>
      </c>
    </row>
    <row r="12" spans="1:34">
      <c r="A12" s="419"/>
      <c r="B12" s="594"/>
      <c r="C12" s="595"/>
      <c r="D12" s="595"/>
      <c r="E12" s="595"/>
      <c r="F12" s="605" t="str">
        <f>F11</f>
        <v xml:space="preserve">   </v>
      </c>
      <c r="G12" s="562"/>
      <c r="H12" s="561"/>
      <c r="I12" s="628"/>
      <c r="J12" s="443" t="s">
        <v>561</v>
      </c>
      <c r="K12" s="637">
        <f>ROUND((G12)*H12*I12,0)</f>
        <v>0</v>
      </c>
      <c r="L12" s="420"/>
      <c r="M12" s="310">
        <f>ROUND(K12*L12,0)</f>
        <v>0</v>
      </c>
      <c r="N12" s="421"/>
      <c r="O12" s="596">
        <f>N12*K12</f>
        <v>0</v>
      </c>
      <c r="P12" s="310">
        <f t="shared" si="0"/>
        <v>0</v>
      </c>
      <c r="Q12" s="288"/>
      <c r="R12" s="422">
        <f>G12*H12/12</f>
        <v>0</v>
      </c>
    </row>
    <row r="13" spans="1:34">
      <c r="A13" s="430"/>
      <c r="B13" s="563"/>
      <c r="C13" s="563"/>
      <c r="D13" s="563"/>
      <c r="E13" s="563"/>
      <c r="F13" s="446"/>
      <c r="G13" s="603"/>
      <c r="H13" s="604"/>
      <c r="I13" s="632"/>
      <c r="J13" s="446"/>
      <c r="K13" s="632"/>
      <c r="L13" s="446"/>
      <c r="M13" s="632"/>
      <c r="N13" s="446"/>
      <c r="O13" s="503"/>
      <c r="P13" s="599"/>
      <c r="Q13" s="411"/>
      <c r="R13" s="423">
        <f>SUBTOTAL(9,R11:R12)</f>
        <v>0</v>
      </c>
    </row>
    <row r="14" spans="1:34">
      <c r="A14" s="419">
        <v>3</v>
      </c>
      <c r="B14" s="594"/>
      <c r="C14" s="595"/>
      <c r="D14" s="595"/>
      <c r="E14" s="595"/>
      <c r="F14" s="407" t="str">
        <f t="shared" ref="F14:F65" si="1">_xlfn.CONCAT(B14," ",C14," ",D14," ",E14)</f>
        <v xml:space="preserve">   </v>
      </c>
      <c r="G14" s="562"/>
      <c r="H14" s="561"/>
      <c r="I14" s="633"/>
      <c r="J14" s="443" t="s">
        <v>561</v>
      </c>
      <c r="K14" s="637">
        <f>ROUND((G14)*H14*I14,0)</f>
        <v>0</v>
      </c>
      <c r="L14" s="420"/>
      <c r="M14" s="310">
        <f>ROUND(K14*L14,0)</f>
        <v>0</v>
      </c>
      <c r="N14" s="421"/>
      <c r="O14" s="596">
        <f>N14*K14</f>
        <v>0</v>
      </c>
      <c r="P14" s="310">
        <f t="shared" si="0"/>
        <v>0</v>
      </c>
      <c r="Q14" s="288"/>
      <c r="R14" s="422">
        <f>G14*H14/12</f>
        <v>0</v>
      </c>
    </row>
    <row r="15" spans="1:34">
      <c r="A15" s="419"/>
      <c r="B15" s="594"/>
      <c r="C15" s="595"/>
      <c r="D15" s="595"/>
      <c r="E15" s="595"/>
      <c r="F15" s="605" t="str">
        <f>F14</f>
        <v xml:space="preserve">   </v>
      </c>
      <c r="G15" s="562"/>
      <c r="H15" s="561"/>
      <c r="I15" s="628"/>
      <c r="J15" s="443" t="s">
        <v>561</v>
      </c>
      <c r="K15" s="637">
        <f>ROUND((G15)*H15*I15,0)</f>
        <v>0</v>
      </c>
      <c r="L15" s="420"/>
      <c r="M15" s="310">
        <f>ROUND(K15*L15,0)</f>
        <v>0</v>
      </c>
      <c r="N15" s="421"/>
      <c r="O15" s="596">
        <f>N15*K15</f>
        <v>0</v>
      </c>
      <c r="P15" s="310">
        <f t="shared" si="0"/>
        <v>0</v>
      </c>
      <c r="Q15" s="288"/>
      <c r="R15" s="422">
        <f>G15*H15/12</f>
        <v>0</v>
      </c>
    </row>
    <row r="16" spans="1:34">
      <c r="A16" s="430"/>
      <c r="B16" s="563"/>
      <c r="C16" s="563"/>
      <c r="D16" s="563"/>
      <c r="E16" s="563"/>
      <c r="F16" s="446"/>
      <c r="G16" s="603"/>
      <c r="H16" s="604"/>
      <c r="I16" s="632"/>
      <c r="J16" s="446"/>
      <c r="K16" s="632"/>
      <c r="L16" s="446"/>
      <c r="M16" s="632"/>
      <c r="N16" s="446"/>
      <c r="O16" s="503"/>
      <c r="P16" s="599"/>
      <c r="Q16" s="411"/>
      <c r="R16" s="423">
        <f>SUBTOTAL(9,R14:R15)</f>
        <v>0</v>
      </c>
    </row>
    <row r="17" spans="1:18">
      <c r="A17" s="419">
        <v>4</v>
      </c>
      <c r="B17" s="594"/>
      <c r="C17" s="595"/>
      <c r="D17" s="595"/>
      <c r="E17" s="595"/>
      <c r="F17" s="407" t="str">
        <f t="shared" si="1"/>
        <v xml:space="preserve">   </v>
      </c>
      <c r="G17" s="562"/>
      <c r="H17" s="561"/>
      <c r="I17" s="628"/>
      <c r="J17" s="443" t="s">
        <v>561</v>
      </c>
      <c r="K17" s="637">
        <f>ROUND((G17)*H17*I17,0)</f>
        <v>0</v>
      </c>
      <c r="L17" s="420"/>
      <c r="M17" s="310">
        <f>ROUND(K17*L17,0)</f>
        <v>0</v>
      </c>
      <c r="N17" s="421"/>
      <c r="O17" s="596">
        <f>N17*K17</f>
        <v>0</v>
      </c>
      <c r="P17" s="310">
        <f t="shared" si="0"/>
        <v>0</v>
      </c>
      <c r="Q17" s="288"/>
      <c r="R17" s="422">
        <f>G17*H17/12</f>
        <v>0</v>
      </c>
    </row>
    <row r="18" spans="1:18">
      <c r="A18" s="419"/>
      <c r="B18" s="594"/>
      <c r="C18" s="595"/>
      <c r="D18" s="595"/>
      <c r="E18" s="595"/>
      <c r="F18" s="605" t="str">
        <f>F17</f>
        <v xml:space="preserve">   </v>
      </c>
      <c r="G18" s="562"/>
      <c r="H18" s="561"/>
      <c r="I18" s="628"/>
      <c r="J18" s="443" t="s">
        <v>561</v>
      </c>
      <c r="K18" s="637">
        <f>ROUND((G18)*H18*I18,0)</f>
        <v>0</v>
      </c>
      <c r="L18" s="420"/>
      <c r="M18" s="310">
        <f>ROUND(K18*L18,0)</f>
        <v>0</v>
      </c>
      <c r="N18" s="421"/>
      <c r="O18" s="596">
        <f>N18*K18</f>
        <v>0</v>
      </c>
      <c r="P18" s="310">
        <f t="shared" si="0"/>
        <v>0</v>
      </c>
      <c r="Q18" s="288"/>
      <c r="R18" s="422">
        <f>G18*H18/12</f>
        <v>0</v>
      </c>
    </row>
    <row r="19" spans="1:18">
      <c r="A19" s="430"/>
      <c r="B19" s="563"/>
      <c r="C19" s="563"/>
      <c r="D19" s="563"/>
      <c r="E19" s="563"/>
      <c r="F19" s="446"/>
      <c r="G19" s="603"/>
      <c r="H19" s="604"/>
      <c r="I19" s="632"/>
      <c r="J19" s="446"/>
      <c r="K19" s="632"/>
      <c r="L19" s="446"/>
      <c r="M19" s="632"/>
      <c r="N19" s="446"/>
      <c r="O19" s="503"/>
      <c r="P19" s="599"/>
      <c r="Q19" s="411"/>
      <c r="R19" s="423">
        <f>SUBTOTAL(9,R17:R18)</f>
        <v>0</v>
      </c>
    </row>
    <row r="20" spans="1:18">
      <c r="A20" s="419">
        <v>5</v>
      </c>
      <c r="B20" s="594"/>
      <c r="C20" s="595"/>
      <c r="D20" s="595"/>
      <c r="E20" s="595"/>
      <c r="F20" s="407" t="str">
        <f t="shared" si="1"/>
        <v xml:space="preserve">   </v>
      </c>
      <c r="G20" s="562"/>
      <c r="H20" s="561"/>
      <c r="I20" s="628"/>
      <c r="J20" s="443" t="s">
        <v>561</v>
      </c>
      <c r="K20" s="637">
        <f>ROUND((G20)*H20*I20,0)</f>
        <v>0</v>
      </c>
      <c r="L20" s="420"/>
      <c r="M20" s="310">
        <f>ROUND(K20*L20,0)</f>
        <v>0</v>
      </c>
      <c r="N20" s="421"/>
      <c r="O20" s="596">
        <f>N20*K20</f>
        <v>0</v>
      </c>
      <c r="P20" s="310">
        <f t="shared" si="0"/>
        <v>0</v>
      </c>
      <c r="Q20" s="288"/>
      <c r="R20" s="422">
        <f>G20*H20/12</f>
        <v>0</v>
      </c>
    </row>
    <row r="21" spans="1:18">
      <c r="A21" s="419"/>
      <c r="B21" s="594"/>
      <c r="C21" s="595"/>
      <c r="D21" s="595"/>
      <c r="E21" s="595"/>
      <c r="F21" s="605" t="str">
        <f>F20</f>
        <v xml:space="preserve">   </v>
      </c>
      <c r="G21" s="562"/>
      <c r="H21" s="561"/>
      <c r="I21" s="628"/>
      <c r="J21" s="443" t="s">
        <v>561</v>
      </c>
      <c r="K21" s="637">
        <f>ROUND((G21)*H21*I21,0)</f>
        <v>0</v>
      </c>
      <c r="L21" s="420"/>
      <c r="M21" s="310">
        <f>ROUND(K21*L21,0)</f>
        <v>0</v>
      </c>
      <c r="N21" s="421"/>
      <c r="O21" s="596">
        <f>N21*K21</f>
        <v>0</v>
      </c>
      <c r="P21" s="310">
        <f t="shared" si="0"/>
        <v>0</v>
      </c>
      <c r="Q21" s="288"/>
      <c r="R21" s="422">
        <f>G21*H21/12</f>
        <v>0</v>
      </c>
    </row>
    <row r="22" spans="1:18">
      <c r="A22" s="430"/>
      <c r="B22" s="563"/>
      <c r="C22" s="563"/>
      <c r="D22" s="563"/>
      <c r="E22" s="563"/>
      <c r="F22" s="446"/>
      <c r="G22" s="603"/>
      <c r="H22" s="604"/>
      <c r="I22" s="632"/>
      <c r="J22" s="446"/>
      <c r="K22" s="632"/>
      <c r="L22" s="446"/>
      <c r="M22" s="632"/>
      <c r="N22" s="446"/>
      <c r="O22" s="503"/>
      <c r="P22" s="599"/>
      <c r="Q22" s="411"/>
      <c r="R22" s="423">
        <f>SUBTOTAL(9,R20:R21)</f>
        <v>0</v>
      </c>
    </row>
    <row r="23" spans="1:18">
      <c r="A23" s="419">
        <v>6</v>
      </c>
      <c r="B23" s="594"/>
      <c r="C23" s="595"/>
      <c r="D23" s="595"/>
      <c r="E23" s="595"/>
      <c r="F23" s="407" t="str">
        <f t="shared" si="1"/>
        <v xml:space="preserve">   </v>
      </c>
      <c r="G23" s="562"/>
      <c r="H23" s="561"/>
      <c r="I23" s="628"/>
      <c r="J23" s="443" t="s">
        <v>561</v>
      </c>
      <c r="K23" s="637">
        <f>ROUND((G23)*H23*I23,0)</f>
        <v>0</v>
      </c>
      <c r="L23" s="420"/>
      <c r="M23" s="310">
        <f>ROUND(K23*L23,0)</f>
        <v>0</v>
      </c>
      <c r="N23" s="421"/>
      <c r="O23" s="596">
        <f>N23*K23</f>
        <v>0</v>
      </c>
      <c r="P23" s="310">
        <f t="shared" si="0"/>
        <v>0</v>
      </c>
      <c r="Q23" s="288"/>
      <c r="R23" s="422">
        <f>G23*H23/12</f>
        <v>0</v>
      </c>
    </row>
    <row r="24" spans="1:18">
      <c r="A24" s="419"/>
      <c r="B24" s="594"/>
      <c r="C24" s="595"/>
      <c r="D24" s="595"/>
      <c r="E24" s="595"/>
      <c r="F24" s="605" t="str">
        <f>F23</f>
        <v xml:space="preserve">   </v>
      </c>
      <c r="G24" s="562"/>
      <c r="H24" s="561"/>
      <c r="I24" s="628"/>
      <c r="J24" s="443" t="s">
        <v>561</v>
      </c>
      <c r="K24" s="637">
        <f>ROUND((G24)*H24*I24,0)</f>
        <v>0</v>
      </c>
      <c r="L24" s="420"/>
      <c r="M24" s="310">
        <f>ROUND(K24*L24,0)</f>
        <v>0</v>
      </c>
      <c r="N24" s="421"/>
      <c r="O24" s="596">
        <f>N24*K24</f>
        <v>0</v>
      </c>
      <c r="P24" s="310">
        <f t="shared" si="0"/>
        <v>0</v>
      </c>
      <c r="Q24" s="288"/>
      <c r="R24" s="422">
        <f>G24*H24/12</f>
        <v>0</v>
      </c>
    </row>
    <row r="25" spans="1:18">
      <c r="A25" s="430"/>
      <c r="B25" s="563"/>
      <c r="C25" s="563"/>
      <c r="D25" s="563"/>
      <c r="E25" s="563"/>
      <c r="F25" s="446"/>
      <c r="G25" s="603"/>
      <c r="H25" s="604"/>
      <c r="I25" s="632"/>
      <c r="J25" s="446"/>
      <c r="K25" s="632"/>
      <c r="L25" s="446"/>
      <c r="M25" s="632"/>
      <c r="N25" s="446"/>
      <c r="O25" s="503"/>
      <c r="P25" s="599"/>
      <c r="Q25" s="411"/>
      <c r="R25" s="423">
        <f>SUBTOTAL(9,R23:R24)</f>
        <v>0</v>
      </c>
    </row>
    <row r="26" spans="1:18">
      <c r="A26" s="419">
        <v>7</v>
      </c>
      <c r="B26" s="594"/>
      <c r="C26" s="595"/>
      <c r="D26" s="595"/>
      <c r="E26" s="595"/>
      <c r="F26" s="407" t="str">
        <f t="shared" si="1"/>
        <v xml:space="preserve">   </v>
      </c>
      <c r="G26" s="562"/>
      <c r="H26" s="561"/>
      <c r="I26" s="628"/>
      <c r="J26" s="443" t="s">
        <v>561</v>
      </c>
      <c r="K26" s="637">
        <f>ROUND((G26)*H26*I26,0)</f>
        <v>0</v>
      </c>
      <c r="L26" s="420"/>
      <c r="M26" s="310">
        <f>ROUND(K26*L26,0)</f>
        <v>0</v>
      </c>
      <c r="N26" s="421"/>
      <c r="O26" s="596">
        <f>N26*K26</f>
        <v>0</v>
      </c>
      <c r="P26" s="310">
        <f t="shared" si="0"/>
        <v>0</v>
      </c>
      <c r="Q26" s="288"/>
      <c r="R26" s="422">
        <f>G26*H26/12</f>
        <v>0</v>
      </c>
    </row>
    <row r="27" spans="1:18">
      <c r="A27" s="419"/>
      <c r="B27" s="594"/>
      <c r="C27" s="595"/>
      <c r="D27" s="595"/>
      <c r="E27" s="595"/>
      <c r="F27" s="605" t="str">
        <f>F26</f>
        <v xml:space="preserve">   </v>
      </c>
      <c r="G27" s="562"/>
      <c r="H27" s="561"/>
      <c r="I27" s="628"/>
      <c r="J27" s="443" t="s">
        <v>561</v>
      </c>
      <c r="K27" s="637">
        <f>ROUND((G27)*H27*I27,0)</f>
        <v>0</v>
      </c>
      <c r="L27" s="420"/>
      <c r="M27" s="310">
        <f>ROUND(K27*L27,0)</f>
        <v>0</v>
      </c>
      <c r="N27" s="421"/>
      <c r="O27" s="596">
        <f>N27*K27</f>
        <v>0</v>
      </c>
      <c r="P27" s="310">
        <f t="shared" si="0"/>
        <v>0</v>
      </c>
      <c r="Q27" s="288"/>
      <c r="R27" s="422">
        <f>G27*H27/12</f>
        <v>0</v>
      </c>
    </row>
    <row r="28" spans="1:18">
      <c r="A28" s="430"/>
      <c r="B28" s="563"/>
      <c r="C28" s="563"/>
      <c r="D28" s="563"/>
      <c r="E28" s="563"/>
      <c r="F28" s="446"/>
      <c r="G28" s="446"/>
      <c r="H28" s="604"/>
      <c r="I28" s="632"/>
      <c r="J28" s="446"/>
      <c r="K28" s="632"/>
      <c r="L28" s="446"/>
      <c r="M28" s="632"/>
      <c r="N28" s="446"/>
      <c r="O28" s="503"/>
      <c r="P28" s="599"/>
      <c r="Q28" s="411"/>
      <c r="R28" s="423">
        <f>SUBTOTAL(9,R26:R27)</f>
        <v>0</v>
      </c>
    </row>
    <row r="29" spans="1:18">
      <c r="A29" s="419">
        <v>8</v>
      </c>
      <c r="B29" s="594"/>
      <c r="C29" s="595"/>
      <c r="D29" s="595"/>
      <c r="E29" s="595"/>
      <c r="F29" s="407" t="str">
        <f t="shared" si="1"/>
        <v xml:space="preserve">   </v>
      </c>
      <c r="G29" s="562"/>
      <c r="H29" s="561"/>
      <c r="I29" s="628"/>
      <c r="J29" s="443" t="s">
        <v>561</v>
      </c>
      <c r="K29" s="637">
        <f>ROUND((G29)*H29*I29,0)</f>
        <v>0</v>
      </c>
      <c r="L29" s="420"/>
      <c r="M29" s="310">
        <f>ROUND(K29*L29,0)</f>
        <v>0</v>
      </c>
      <c r="N29" s="421"/>
      <c r="O29" s="596">
        <f>N29*K29</f>
        <v>0</v>
      </c>
      <c r="P29" s="310">
        <f t="shared" si="0"/>
        <v>0</v>
      </c>
      <c r="Q29" s="288"/>
      <c r="R29" s="422">
        <f>G29*H29/12</f>
        <v>0</v>
      </c>
    </row>
    <row r="30" spans="1:18">
      <c r="A30" s="419"/>
      <c r="B30" s="594"/>
      <c r="C30" s="595"/>
      <c r="D30" s="595"/>
      <c r="E30" s="595"/>
      <c r="F30" s="605" t="str">
        <f>F29</f>
        <v xml:space="preserve">   </v>
      </c>
      <c r="G30" s="562"/>
      <c r="H30" s="561"/>
      <c r="I30" s="628"/>
      <c r="J30" s="443" t="s">
        <v>561</v>
      </c>
      <c r="K30" s="637">
        <f>ROUND((G30)*H30*I30,0)</f>
        <v>0</v>
      </c>
      <c r="L30" s="420"/>
      <c r="M30" s="310">
        <f>ROUND(K30*L30,0)</f>
        <v>0</v>
      </c>
      <c r="N30" s="421"/>
      <c r="O30" s="596">
        <f>N30*K30</f>
        <v>0</v>
      </c>
      <c r="P30" s="310">
        <f t="shared" si="0"/>
        <v>0</v>
      </c>
      <c r="Q30" s="288"/>
      <c r="R30" s="422">
        <f>G30*H30/12</f>
        <v>0</v>
      </c>
    </row>
    <row r="31" spans="1:18">
      <c r="A31" s="430"/>
      <c r="B31" s="563"/>
      <c r="C31" s="563"/>
      <c r="D31" s="563"/>
      <c r="E31" s="563"/>
      <c r="F31" s="446"/>
      <c r="G31" s="603"/>
      <c r="H31" s="604"/>
      <c r="I31" s="632"/>
      <c r="J31" s="446"/>
      <c r="K31" s="632"/>
      <c r="L31" s="446"/>
      <c r="M31" s="632"/>
      <c r="N31" s="446"/>
      <c r="O31" s="503"/>
      <c r="P31" s="599"/>
      <c r="Q31" s="411"/>
      <c r="R31" s="423">
        <f>SUBTOTAL(9,R29:R30)</f>
        <v>0</v>
      </c>
    </row>
    <row r="32" spans="1:18">
      <c r="A32" s="419">
        <v>9</v>
      </c>
      <c r="B32" s="594"/>
      <c r="C32" s="595"/>
      <c r="D32" s="595"/>
      <c r="E32" s="595"/>
      <c r="F32" s="407" t="str">
        <f t="shared" si="1"/>
        <v xml:space="preserve">   </v>
      </c>
      <c r="G32" s="562"/>
      <c r="H32" s="561"/>
      <c r="I32" s="633"/>
      <c r="J32" s="443" t="s">
        <v>561</v>
      </c>
      <c r="K32" s="637">
        <f>ROUND((G32)*H32*I32,0)</f>
        <v>0</v>
      </c>
      <c r="L32" s="420"/>
      <c r="M32" s="310">
        <f>ROUND(K32*L32,0)</f>
        <v>0</v>
      </c>
      <c r="N32" s="421"/>
      <c r="O32" s="596">
        <f>N32*K32</f>
        <v>0</v>
      </c>
      <c r="P32" s="310">
        <f t="shared" si="0"/>
        <v>0</v>
      </c>
      <c r="Q32" s="288"/>
      <c r="R32" s="422">
        <f>G32*H32/12</f>
        <v>0</v>
      </c>
    </row>
    <row r="33" spans="1:18">
      <c r="A33" s="419"/>
      <c r="B33" s="594"/>
      <c r="C33" s="595"/>
      <c r="D33" s="595"/>
      <c r="E33" s="595"/>
      <c r="F33" s="605" t="str">
        <f>F32</f>
        <v xml:space="preserve">   </v>
      </c>
      <c r="G33" s="562"/>
      <c r="H33" s="561"/>
      <c r="I33" s="628"/>
      <c r="J33" s="443" t="s">
        <v>561</v>
      </c>
      <c r="K33" s="637">
        <f>ROUND((G33)*H33*I33,0)</f>
        <v>0</v>
      </c>
      <c r="L33" s="420"/>
      <c r="M33" s="310">
        <f>ROUND(K33*L33,0)</f>
        <v>0</v>
      </c>
      <c r="N33" s="421"/>
      <c r="O33" s="596">
        <f>N33*K33</f>
        <v>0</v>
      </c>
      <c r="P33" s="310">
        <f t="shared" si="0"/>
        <v>0</v>
      </c>
      <c r="Q33" s="288"/>
      <c r="R33" s="422">
        <f>G33*H33/12</f>
        <v>0</v>
      </c>
    </row>
    <row r="34" spans="1:18">
      <c r="A34" s="430"/>
      <c r="B34" s="563"/>
      <c r="C34" s="563"/>
      <c r="D34" s="563"/>
      <c r="E34" s="563"/>
      <c r="F34" s="446"/>
      <c r="G34" s="603"/>
      <c r="H34" s="604"/>
      <c r="I34" s="632"/>
      <c r="J34" s="446"/>
      <c r="K34" s="632"/>
      <c r="L34" s="446"/>
      <c r="M34" s="632"/>
      <c r="N34" s="446"/>
      <c r="O34" s="503"/>
      <c r="P34" s="599"/>
      <c r="Q34" s="411"/>
      <c r="R34" s="423">
        <f>SUBTOTAL(9,R32:R33)</f>
        <v>0</v>
      </c>
    </row>
    <row r="35" spans="1:18">
      <c r="A35" s="419">
        <v>10</v>
      </c>
      <c r="B35" s="594"/>
      <c r="C35" s="595"/>
      <c r="D35" s="595"/>
      <c r="E35" s="595"/>
      <c r="F35" s="407" t="str">
        <f t="shared" si="1"/>
        <v xml:space="preserve">   </v>
      </c>
      <c r="G35" s="562"/>
      <c r="H35" s="561"/>
      <c r="I35" s="628"/>
      <c r="J35" s="443" t="s">
        <v>561</v>
      </c>
      <c r="K35" s="637">
        <f>ROUND((G35)*H35*I35,0)</f>
        <v>0</v>
      </c>
      <c r="L35" s="420"/>
      <c r="M35" s="310">
        <f>ROUND(K35*L35,0)</f>
        <v>0</v>
      </c>
      <c r="N35" s="421"/>
      <c r="O35" s="596">
        <f>N35*K35</f>
        <v>0</v>
      </c>
      <c r="P35" s="310">
        <f t="shared" si="0"/>
        <v>0</v>
      </c>
      <c r="Q35" s="288"/>
      <c r="R35" s="422">
        <f>G35*H35/12</f>
        <v>0</v>
      </c>
    </row>
    <row r="36" spans="1:18">
      <c r="A36" s="419"/>
      <c r="B36" s="594"/>
      <c r="C36" s="595"/>
      <c r="D36" s="595"/>
      <c r="E36" s="595"/>
      <c r="F36" s="605" t="str">
        <f>F35</f>
        <v xml:space="preserve">   </v>
      </c>
      <c r="G36" s="562"/>
      <c r="H36" s="561"/>
      <c r="I36" s="628"/>
      <c r="J36" s="443" t="s">
        <v>561</v>
      </c>
      <c r="K36" s="637">
        <f>ROUND((G36)*H36*I36,0)</f>
        <v>0</v>
      </c>
      <c r="L36" s="420"/>
      <c r="M36" s="310">
        <f>ROUND(K36*L36,0)</f>
        <v>0</v>
      </c>
      <c r="N36" s="421"/>
      <c r="O36" s="596">
        <f>N36*K36</f>
        <v>0</v>
      </c>
      <c r="P36" s="310">
        <f t="shared" si="0"/>
        <v>0</v>
      </c>
      <c r="Q36" s="288"/>
      <c r="R36" s="422">
        <f>G36*H36/12</f>
        <v>0</v>
      </c>
    </row>
    <row r="37" spans="1:18">
      <c r="A37" s="430"/>
      <c r="B37" s="563"/>
      <c r="C37" s="563"/>
      <c r="D37" s="563"/>
      <c r="E37" s="563"/>
      <c r="F37" s="446"/>
      <c r="G37" s="446"/>
      <c r="H37" s="604"/>
      <c r="I37" s="632"/>
      <c r="J37" s="446"/>
      <c r="K37" s="632"/>
      <c r="L37" s="446"/>
      <c r="M37" s="632"/>
      <c r="N37" s="446"/>
      <c r="O37" s="503"/>
      <c r="P37" s="599"/>
      <c r="Q37" s="411"/>
      <c r="R37" s="423">
        <f>SUBTOTAL(9,R35:R36)</f>
        <v>0</v>
      </c>
    </row>
    <row r="38" spans="1:18">
      <c r="A38" s="419">
        <v>11</v>
      </c>
      <c r="B38" s="594"/>
      <c r="C38" s="595"/>
      <c r="D38" s="595"/>
      <c r="E38" s="595"/>
      <c r="F38" s="407" t="str">
        <f t="shared" ref="F38" si="2">_xlfn.CONCAT(B38," ",C38," ",D38," ",E38)</f>
        <v xml:space="preserve">   </v>
      </c>
      <c r="G38" s="562"/>
      <c r="H38" s="561"/>
      <c r="I38" s="628"/>
      <c r="J38" s="443" t="s">
        <v>561</v>
      </c>
      <c r="K38" s="637">
        <f>ROUND((G38)*H38*I38,0)</f>
        <v>0</v>
      </c>
      <c r="L38" s="420"/>
      <c r="M38" s="310">
        <f>ROUND(K38*L38,0)</f>
        <v>0</v>
      </c>
      <c r="N38" s="421"/>
      <c r="O38" s="596">
        <f>N38*K38</f>
        <v>0</v>
      </c>
      <c r="P38" s="310">
        <f t="shared" ref="P38:P39" si="3">+O38+M38+K38</f>
        <v>0</v>
      </c>
      <c r="Q38" s="288"/>
      <c r="R38" s="422">
        <f>G38*H38/12</f>
        <v>0</v>
      </c>
    </row>
    <row r="39" spans="1:18">
      <c r="A39" s="419"/>
      <c r="B39" s="594"/>
      <c r="C39" s="595"/>
      <c r="D39" s="595"/>
      <c r="E39" s="595"/>
      <c r="F39" s="605" t="str">
        <f>F38</f>
        <v xml:space="preserve">   </v>
      </c>
      <c r="G39" s="562"/>
      <c r="H39" s="561"/>
      <c r="I39" s="628"/>
      <c r="J39" s="443" t="s">
        <v>561</v>
      </c>
      <c r="K39" s="637">
        <f>ROUND((G39)*H39*I39,0)</f>
        <v>0</v>
      </c>
      <c r="L39" s="420"/>
      <c r="M39" s="310">
        <f>ROUND(K39*L39,0)</f>
        <v>0</v>
      </c>
      <c r="N39" s="421"/>
      <c r="O39" s="596">
        <f>N39*K39</f>
        <v>0</v>
      </c>
      <c r="P39" s="310">
        <f t="shared" si="3"/>
        <v>0</v>
      </c>
      <c r="Q39" s="288"/>
      <c r="R39" s="422">
        <f>G39*H39/12</f>
        <v>0</v>
      </c>
    </row>
    <row r="40" spans="1:18">
      <c r="A40" s="430"/>
      <c r="B40" s="563"/>
      <c r="C40" s="563"/>
      <c r="D40" s="563"/>
      <c r="E40" s="563"/>
      <c r="F40" s="446"/>
      <c r="G40" s="603"/>
      <c r="H40" s="604"/>
      <c r="I40" s="632"/>
      <c r="J40" s="446"/>
      <c r="K40" s="632"/>
      <c r="L40" s="446"/>
      <c r="M40" s="632"/>
      <c r="N40" s="446"/>
      <c r="O40" s="503"/>
      <c r="P40" s="599"/>
      <c r="Q40" s="411"/>
      <c r="R40" s="423">
        <f>SUBTOTAL(9,R38:R39)</f>
        <v>0</v>
      </c>
    </row>
    <row r="41" spans="1:18">
      <c r="A41" s="419">
        <v>12</v>
      </c>
      <c r="B41" s="594"/>
      <c r="C41" s="595"/>
      <c r="D41" s="595"/>
      <c r="E41" s="595"/>
      <c r="F41" s="407" t="str">
        <f t="shared" ref="F41" si="4">_xlfn.CONCAT(B41," ",C41," ",D41," ",E41)</f>
        <v xml:space="preserve">   </v>
      </c>
      <c r="G41" s="562"/>
      <c r="H41" s="561"/>
      <c r="I41" s="633"/>
      <c r="J41" s="443" t="s">
        <v>561</v>
      </c>
      <c r="K41" s="637">
        <f>ROUND((G41)*H41*I41,0)</f>
        <v>0</v>
      </c>
      <c r="L41" s="420"/>
      <c r="M41" s="310">
        <f>ROUND(K41*L41,0)</f>
        <v>0</v>
      </c>
      <c r="N41" s="421"/>
      <c r="O41" s="596">
        <f>N41*K41</f>
        <v>0</v>
      </c>
      <c r="P41" s="310">
        <f t="shared" ref="P41:P42" si="5">+O41+M41+K41</f>
        <v>0</v>
      </c>
      <c r="Q41" s="288"/>
      <c r="R41" s="422">
        <f>G41*H41/12</f>
        <v>0</v>
      </c>
    </row>
    <row r="42" spans="1:18">
      <c r="A42" s="419"/>
      <c r="B42" s="594"/>
      <c r="C42" s="595"/>
      <c r="D42" s="595"/>
      <c r="E42" s="595"/>
      <c r="F42" s="605" t="str">
        <f>F41</f>
        <v xml:space="preserve">   </v>
      </c>
      <c r="G42" s="562"/>
      <c r="H42" s="561"/>
      <c r="I42" s="628"/>
      <c r="J42" s="443" t="s">
        <v>561</v>
      </c>
      <c r="K42" s="637">
        <f>ROUND((G42)*H42*I42,0)</f>
        <v>0</v>
      </c>
      <c r="L42" s="420"/>
      <c r="M42" s="310">
        <f>ROUND(K42*L42,0)</f>
        <v>0</v>
      </c>
      <c r="N42" s="421"/>
      <c r="O42" s="596">
        <f>N42*K42</f>
        <v>0</v>
      </c>
      <c r="P42" s="310">
        <f t="shared" si="5"/>
        <v>0</v>
      </c>
      <c r="Q42" s="288"/>
      <c r="R42" s="422">
        <f>G42*H42/12</f>
        <v>0</v>
      </c>
    </row>
    <row r="43" spans="1:18">
      <c r="A43" s="430"/>
      <c r="B43" s="563"/>
      <c r="C43" s="563"/>
      <c r="D43" s="563"/>
      <c r="E43" s="563"/>
      <c r="F43" s="446"/>
      <c r="G43" s="603"/>
      <c r="H43" s="604"/>
      <c r="I43" s="632"/>
      <c r="J43" s="446"/>
      <c r="K43" s="632"/>
      <c r="L43" s="446"/>
      <c r="M43" s="632"/>
      <c r="N43" s="446"/>
      <c r="O43" s="503"/>
      <c r="P43" s="599"/>
      <c r="Q43" s="411"/>
      <c r="R43" s="423">
        <f>SUBTOTAL(9,R41:R42)</f>
        <v>0</v>
      </c>
    </row>
    <row r="44" spans="1:18">
      <c r="A44" s="419">
        <v>13</v>
      </c>
      <c r="B44" s="594"/>
      <c r="C44" s="595"/>
      <c r="D44" s="595"/>
      <c r="E44" s="595"/>
      <c r="F44" s="407" t="str">
        <f t="shared" ref="F44" si="6">_xlfn.CONCAT(B44," ",C44," ",D44," ",E44)</f>
        <v xml:space="preserve">   </v>
      </c>
      <c r="G44" s="562"/>
      <c r="H44" s="561"/>
      <c r="I44" s="628"/>
      <c r="J44" s="443" t="s">
        <v>561</v>
      </c>
      <c r="K44" s="637">
        <f>ROUND((G44)*H44*I44,0)</f>
        <v>0</v>
      </c>
      <c r="L44" s="420"/>
      <c r="M44" s="310">
        <f>ROUND(K44*L44,0)</f>
        <v>0</v>
      </c>
      <c r="N44" s="421"/>
      <c r="O44" s="596">
        <f>N44*K44</f>
        <v>0</v>
      </c>
      <c r="P44" s="310">
        <f t="shared" ref="P44:P45" si="7">+O44+M44+K44</f>
        <v>0</v>
      </c>
      <c r="Q44" s="288"/>
      <c r="R44" s="422">
        <f>G44*H44/12</f>
        <v>0</v>
      </c>
    </row>
    <row r="45" spans="1:18">
      <c r="A45" s="419"/>
      <c r="B45" s="594"/>
      <c r="C45" s="595"/>
      <c r="D45" s="595"/>
      <c r="E45" s="595"/>
      <c r="F45" s="605" t="str">
        <f>F44</f>
        <v xml:space="preserve">   </v>
      </c>
      <c r="G45" s="562"/>
      <c r="H45" s="561"/>
      <c r="I45" s="628"/>
      <c r="J45" s="443" t="s">
        <v>561</v>
      </c>
      <c r="K45" s="637">
        <f>ROUND((G45)*H45*I45,0)</f>
        <v>0</v>
      </c>
      <c r="L45" s="420"/>
      <c r="M45" s="310">
        <f>ROUND(K45*L45,0)</f>
        <v>0</v>
      </c>
      <c r="N45" s="421"/>
      <c r="O45" s="596">
        <f>N45*K45</f>
        <v>0</v>
      </c>
      <c r="P45" s="310">
        <f t="shared" si="7"/>
        <v>0</v>
      </c>
      <c r="Q45" s="288"/>
      <c r="R45" s="422">
        <f>G45*H45/12</f>
        <v>0</v>
      </c>
    </row>
    <row r="46" spans="1:18">
      <c r="A46" s="430"/>
      <c r="B46" s="563"/>
      <c r="C46" s="563"/>
      <c r="D46" s="563"/>
      <c r="E46" s="563"/>
      <c r="F46" s="446"/>
      <c r="G46" s="446"/>
      <c r="H46" s="604"/>
      <c r="I46" s="632"/>
      <c r="J46" s="446"/>
      <c r="K46" s="632"/>
      <c r="L46" s="446"/>
      <c r="M46" s="632"/>
      <c r="N46" s="446"/>
      <c r="O46" s="503"/>
      <c r="P46" s="599"/>
      <c r="Q46" s="411"/>
      <c r="R46" s="423">
        <f>SUBTOTAL(9,R44:R45)</f>
        <v>0</v>
      </c>
    </row>
    <row r="47" spans="1:18">
      <c r="A47" s="419">
        <v>14</v>
      </c>
      <c r="B47" s="594"/>
      <c r="C47" s="595"/>
      <c r="D47" s="595"/>
      <c r="E47" s="595"/>
      <c r="F47" s="407" t="str">
        <f t="shared" ref="F47" si="8">_xlfn.CONCAT(B47," ",C47," ",D47," ",E47)</f>
        <v xml:space="preserve">   </v>
      </c>
      <c r="G47" s="562"/>
      <c r="H47" s="561"/>
      <c r="I47" s="628"/>
      <c r="J47" s="443" t="s">
        <v>561</v>
      </c>
      <c r="K47" s="637">
        <f>ROUND((G47)*H47*I47,0)</f>
        <v>0</v>
      </c>
      <c r="L47" s="420"/>
      <c r="M47" s="310">
        <f>ROUND(K47*L47,0)</f>
        <v>0</v>
      </c>
      <c r="N47" s="421"/>
      <c r="O47" s="596">
        <f>N47*K47</f>
        <v>0</v>
      </c>
      <c r="P47" s="310">
        <f t="shared" ref="P47:P48" si="9">+O47+M47+K47</f>
        <v>0</v>
      </c>
      <c r="Q47" s="288"/>
      <c r="R47" s="422">
        <f>G47*H47/12</f>
        <v>0</v>
      </c>
    </row>
    <row r="48" spans="1:18">
      <c r="A48" s="419"/>
      <c r="B48" s="594"/>
      <c r="C48" s="595"/>
      <c r="D48" s="595"/>
      <c r="E48" s="595"/>
      <c r="F48" s="605" t="str">
        <f>F47</f>
        <v xml:space="preserve">   </v>
      </c>
      <c r="G48" s="562"/>
      <c r="H48" s="561"/>
      <c r="I48" s="628"/>
      <c r="J48" s="443" t="s">
        <v>561</v>
      </c>
      <c r="K48" s="637">
        <f>ROUND((G48)*H48*I48,0)</f>
        <v>0</v>
      </c>
      <c r="L48" s="420"/>
      <c r="M48" s="310">
        <f>ROUND(K48*L48,0)</f>
        <v>0</v>
      </c>
      <c r="N48" s="421"/>
      <c r="O48" s="596">
        <f>N48*K48</f>
        <v>0</v>
      </c>
      <c r="P48" s="310">
        <f t="shared" si="9"/>
        <v>0</v>
      </c>
      <c r="Q48" s="288"/>
      <c r="R48" s="422">
        <f>G48*H48/12</f>
        <v>0</v>
      </c>
    </row>
    <row r="49" spans="1:18">
      <c r="A49" s="430"/>
      <c r="B49" s="563"/>
      <c r="C49" s="563"/>
      <c r="D49" s="563"/>
      <c r="E49" s="563"/>
      <c r="F49" s="446"/>
      <c r="G49" s="603"/>
      <c r="H49" s="604"/>
      <c r="I49" s="632"/>
      <c r="J49" s="446"/>
      <c r="K49" s="632"/>
      <c r="L49" s="446"/>
      <c r="M49" s="632"/>
      <c r="N49" s="446"/>
      <c r="O49" s="503"/>
      <c r="P49" s="599"/>
      <c r="Q49" s="411"/>
      <c r="R49" s="423">
        <f>SUBTOTAL(9,R47:R48)</f>
        <v>0</v>
      </c>
    </row>
    <row r="50" spans="1:18">
      <c r="A50" s="419">
        <v>15</v>
      </c>
      <c r="B50" s="594"/>
      <c r="C50" s="595"/>
      <c r="D50" s="595"/>
      <c r="E50" s="595"/>
      <c r="F50" s="407" t="str">
        <f t="shared" ref="F50" si="10">_xlfn.CONCAT(B50," ",C50," ",D50," ",E50)</f>
        <v xml:space="preserve">   </v>
      </c>
      <c r="G50" s="562"/>
      <c r="H50" s="561"/>
      <c r="I50" s="633"/>
      <c r="J50" s="443" t="s">
        <v>561</v>
      </c>
      <c r="K50" s="637">
        <f>ROUND((G50)*H50*I50,0)</f>
        <v>0</v>
      </c>
      <c r="L50" s="420"/>
      <c r="M50" s="310">
        <f>ROUND(K50*L50,0)</f>
        <v>0</v>
      </c>
      <c r="N50" s="421"/>
      <c r="O50" s="596">
        <f>N50*K50</f>
        <v>0</v>
      </c>
      <c r="P50" s="310">
        <f t="shared" ref="P50:P51" si="11">+O50+M50+K50</f>
        <v>0</v>
      </c>
      <c r="Q50" s="288"/>
      <c r="R50" s="422">
        <f>G50*H50/12</f>
        <v>0</v>
      </c>
    </row>
    <row r="51" spans="1:18">
      <c r="A51" s="419"/>
      <c r="B51" s="594"/>
      <c r="C51" s="595"/>
      <c r="D51" s="595"/>
      <c r="E51" s="595"/>
      <c r="F51" s="605" t="str">
        <f>F50</f>
        <v xml:space="preserve">   </v>
      </c>
      <c r="G51" s="562"/>
      <c r="H51" s="561"/>
      <c r="I51" s="628"/>
      <c r="J51" s="443" t="s">
        <v>561</v>
      </c>
      <c r="K51" s="637">
        <f>ROUND((G51)*H51*I51,0)</f>
        <v>0</v>
      </c>
      <c r="L51" s="420"/>
      <c r="M51" s="310">
        <f>ROUND(K51*L51,0)</f>
        <v>0</v>
      </c>
      <c r="N51" s="421"/>
      <c r="O51" s="596">
        <f>N51*K51</f>
        <v>0</v>
      </c>
      <c r="P51" s="310">
        <f t="shared" si="11"/>
        <v>0</v>
      </c>
      <c r="Q51" s="288"/>
      <c r="R51" s="422">
        <f>G51*H51/12</f>
        <v>0</v>
      </c>
    </row>
    <row r="52" spans="1:18">
      <c r="A52" s="430"/>
      <c r="B52" s="563"/>
      <c r="C52" s="563"/>
      <c r="D52" s="563"/>
      <c r="E52" s="563"/>
      <c r="F52" s="446"/>
      <c r="G52" s="603"/>
      <c r="H52" s="604"/>
      <c r="I52" s="632"/>
      <c r="J52" s="446"/>
      <c r="K52" s="632"/>
      <c r="L52" s="446"/>
      <c r="M52" s="632"/>
      <c r="N52" s="446"/>
      <c r="O52" s="503"/>
      <c r="P52" s="599"/>
      <c r="Q52" s="411"/>
      <c r="R52" s="423">
        <f>SUBTOTAL(9,R50:R51)</f>
        <v>0</v>
      </c>
    </row>
    <row r="53" spans="1:18">
      <c r="A53" s="419">
        <v>16</v>
      </c>
      <c r="B53" s="594"/>
      <c r="C53" s="595"/>
      <c r="D53" s="595"/>
      <c r="E53" s="595"/>
      <c r="F53" s="407" t="str">
        <f t="shared" ref="F53" si="12">_xlfn.CONCAT(B53," ",C53," ",D53," ",E53)</f>
        <v xml:space="preserve">   </v>
      </c>
      <c r="G53" s="562"/>
      <c r="H53" s="561"/>
      <c r="I53" s="628"/>
      <c r="J53" s="443" t="s">
        <v>561</v>
      </c>
      <c r="K53" s="637">
        <f>ROUND((G53)*H53*I53,0)</f>
        <v>0</v>
      </c>
      <c r="L53" s="420"/>
      <c r="M53" s="310">
        <f>ROUND(K53*L53,0)</f>
        <v>0</v>
      </c>
      <c r="N53" s="421"/>
      <c r="O53" s="596">
        <f>N53*K53</f>
        <v>0</v>
      </c>
      <c r="P53" s="310">
        <f t="shared" ref="P53:P54" si="13">+O53+M53+K53</f>
        <v>0</v>
      </c>
      <c r="Q53" s="288"/>
      <c r="R53" s="422">
        <f>G53*H53/12</f>
        <v>0</v>
      </c>
    </row>
    <row r="54" spans="1:18">
      <c r="A54" s="419"/>
      <c r="B54" s="594"/>
      <c r="C54" s="595"/>
      <c r="D54" s="595"/>
      <c r="E54" s="595"/>
      <c r="F54" s="605" t="str">
        <f>F53</f>
        <v xml:space="preserve">   </v>
      </c>
      <c r="G54" s="562"/>
      <c r="H54" s="561"/>
      <c r="I54" s="628"/>
      <c r="J54" s="443" t="s">
        <v>561</v>
      </c>
      <c r="K54" s="637">
        <f>ROUND((G54)*H54*I54,0)</f>
        <v>0</v>
      </c>
      <c r="L54" s="420"/>
      <c r="M54" s="310">
        <f>ROUND(K54*L54,0)</f>
        <v>0</v>
      </c>
      <c r="N54" s="421"/>
      <c r="O54" s="596">
        <f>N54*K54</f>
        <v>0</v>
      </c>
      <c r="P54" s="310">
        <f t="shared" si="13"/>
        <v>0</v>
      </c>
      <c r="Q54" s="288"/>
      <c r="R54" s="422">
        <f>G54*H54/12</f>
        <v>0</v>
      </c>
    </row>
    <row r="55" spans="1:18">
      <c r="A55" s="430"/>
      <c r="B55" s="563"/>
      <c r="C55" s="563"/>
      <c r="D55" s="563"/>
      <c r="E55" s="563"/>
      <c r="F55" s="446"/>
      <c r="G55" s="446"/>
      <c r="H55" s="604"/>
      <c r="I55" s="632"/>
      <c r="J55" s="446"/>
      <c r="K55" s="632"/>
      <c r="L55" s="446"/>
      <c r="M55" s="632"/>
      <c r="N55" s="446"/>
      <c r="O55" s="503"/>
      <c r="P55" s="599"/>
      <c r="Q55" s="411"/>
      <c r="R55" s="423">
        <f>SUBTOTAL(9,R53:R54)</f>
        <v>0</v>
      </c>
    </row>
    <row r="56" spans="1:18">
      <c r="A56" s="419">
        <v>17</v>
      </c>
      <c r="B56" s="594"/>
      <c r="C56" s="595"/>
      <c r="D56" s="595"/>
      <c r="E56" s="595"/>
      <c r="F56" s="407" t="str">
        <f t="shared" ref="F56" si="14">_xlfn.CONCAT(B56," ",C56," ",D56," ",E56)</f>
        <v xml:space="preserve">   </v>
      </c>
      <c r="G56" s="562"/>
      <c r="H56" s="561"/>
      <c r="I56" s="628"/>
      <c r="J56" s="443" t="s">
        <v>561</v>
      </c>
      <c r="K56" s="637">
        <f>ROUND((G56)*H56*I56,0)</f>
        <v>0</v>
      </c>
      <c r="L56" s="420"/>
      <c r="M56" s="310">
        <f>ROUND(K56*L56,0)</f>
        <v>0</v>
      </c>
      <c r="N56" s="421"/>
      <c r="O56" s="596">
        <f>N56*K56</f>
        <v>0</v>
      </c>
      <c r="P56" s="310">
        <f t="shared" ref="P56:P57" si="15">+O56+M56+K56</f>
        <v>0</v>
      </c>
      <c r="Q56" s="288"/>
      <c r="R56" s="422">
        <f>G56*H56/12</f>
        <v>0</v>
      </c>
    </row>
    <row r="57" spans="1:18">
      <c r="A57" s="419"/>
      <c r="B57" s="594"/>
      <c r="C57" s="595"/>
      <c r="D57" s="595"/>
      <c r="E57" s="595"/>
      <c r="F57" s="605" t="str">
        <f>F56</f>
        <v xml:space="preserve">   </v>
      </c>
      <c r="G57" s="562"/>
      <c r="H57" s="561"/>
      <c r="I57" s="628"/>
      <c r="J57" s="443" t="s">
        <v>561</v>
      </c>
      <c r="K57" s="637">
        <f>ROUND((G57)*H57*I57,0)</f>
        <v>0</v>
      </c>
      <c r="L57" s="420"/>
      <c r="M57" s="310">
        <f>ROUND(K57*L57,0)</f>
        <v>0</v>
      </c>
      <c r="N57" s="421"/>
      <c r="O57" s="596">
        <f>N57*K57</f>
        <v>0</v>
      </c>
      <c r="P57" s="310">
        <f t="shared" si="15"/>
        <v>0</v>
      </c>
      <c r="Q57" s="288"/>
      <c r="R57" s="422">
        <f>G57*H57/12</f>
        <v>0</v>
      </c>
    </row>
    <row r="58" spans="1:18">
      <c r="A58" s="430"/>
      <c r="B58" s="563"/>
      <c r="C58" s="563"/>
      <c r="D58" s="563"/>
      <c r="E58" s="563"/>
      <c r="F58" s="446"/>
      <c r="G58" s="603"/>
      <c r="H58" s="604"/>
      <c r="I58" s="632"/>
      <c r="J58" s="446"/>
      <c r="K58" s="632"/>
      <c r="L58" s="446"/>
      <c r="M58" s="632"/>
      <c r="N58" s="446"/>
      <c r="O58" s="503"/>
      <c r="P58" s="599"/>
      <c r="Q58" s="411"/>
      <c r="R58" s="423">
        <f>SUBTOTAL(9,R56:R57)</f>
        <v>0</v>
      </c>
    </row>
    <row r="59" spans="1:18">
      <c r="A59" s="419">
        <v>18</v>
      </c>
      <c r="B59" s="594"/>
      <c r="C59" s="595"/>
      <c r="D59" s="595"/>
      <c r="E59" s="595"/>
      <c r="F59" s="407" t="str">
        <f t="shared" ref="F59" si="16">_xlfn.CONCAT(B59," ",C59," ",D59," ",E59)</f>
        <v xml:space="preserve">   </v>
      </c>
      <c r="G59" s="562"/>
      <c r="H59" s="561"/>
      <c r="I59" s="633"/>
      <c r="J59" s="443" t="s">
        <v>561</v>
      </c>
      <c r="K59" s="637">
        <f>ROUND((G59)*H59*I59,0)</f>
        <v>0</v>
      </c>
      <c r="L59" s="420"/>
      <c r="M59" s="310">
        <f>ROUND(K59*L59,0)</f>
        <v>0</v>
      </c>
      <c r="N59" s="421"/>
      <c r="O59" s="596">
        <f>N59*K59</f>
        <v>0</v>
      </c>
      <c r="P59" s="310">
        <f t="shared" ref="P59:P60" si="17">+O59+M59+K59</f>
        <v>0</v>
      </c>
      <c r="Q59" s="288"/>
      <c r="R59" s="422">
        <f>G59*H59/12</f>
        <v>0</v>
      </c>
    </row>
    <row r="60" spans="1:18">
      <c r="A60" s="419"/>
      <c r="B60" s="594"/>
      <c r="C60" s="595"/>
      <c r="D60" s="595"/>
      <c r="E60" s="595"/>
      <c r="F60" s="605" t="str">
        <f>F59</f>
        <v xml:space="preserve">   </v>
      </c>
      <c r="G60" s="562"/>
      <c r="H60" s="561"/>
      <c r="I60" s="628"/>
      <c r="J60" s="443" t="s">
        <v>561</v>
      </c>
      <c r="K60" s="637">
        <f>ROUND((G60)*H60*I60,0)</f>
        <v>0</v>
      </c>
      <c r="L60" s="420"/>
      <c r="M60" s="310">
        <f>ROUND(K60*L60,0)</f>
        <v>0</v>
      </c>
      <c r="N60" s="421"/>
      <c r="O60" s="596">
        <f>N60*K60</f>
        <v>0</v>
      </c>
      <c r="P60" s="310">
        <f t="shared" si="17"/>
        <v>0</v>
      </c>
      <c r="Q60" s="288"/>
      <c r="R60" s="422">
        <f>G60*H60/12</f>
        <v>0</v>
      </c>
    </row>
    <row r="61" spans="1:18">
      <c r="A61" s="430"/>
      <c r="B61" s="563"/>
      <c r="C61" s="563"/>
      <c r="D61" s="563"/>
      <c r="E61" s="563"/>
      <c r="F61" s="446"/>
      <c r="G61" s="603"/>
      <c r="H61" s="604"/>
      <c r="I61" s="632"/>
      <c r="J61" s="446"/>
      <c r="K61" s="632"/>
      <c r="L61" s="446"/>
      <c r="M61" s="632"/>
      <c r="N61" s="446"/>
      <c r="O61" s="503"/>
      <c r="P61" s="599"/>
      <c r="Q61" s="411"/>
      <c r="R61" s="423">
        <f>SUBTOTAL(9,R59:R60)</f>
        <v>0</v>
      </c>
    </row>
    <row r="62" spans="1:18">
      <c r="A62" s="419">
        <v>19</v>
      </c>
      <c r="B62" s="594"/>
      <c r="C62" s="595"/>
      <c r="D62" s="595"/>
      <c r="E62" s="595"/>
      <c r="F62" s="407" t="str">
        <f t="shared" ref="F62" si="18">_xlfn.CONCAT(B62," ",C62," ",D62," ",E62)</f>
        <v xml:space="preserve">   </v>
      </c>
      <c r="G62" s="562"/>
      <c r="H62" s="561"/>
      <c r="I62" s="628"/>
      <c r="J62" s="443" t="s">
        <v>561</v>
      </c>
      <c r="K62" s="637">
        <f>ROUND((G62)*H62*I62,0)</f>
        <v>0</v>
      </c>
      <c r="L62" s="420"/>
      <c r="M62" s="310">
        <f>ROUND(K62*L62,0)</f>
        <v>0</v>
      </c>
      <c r="N62" s="421"/>
      <c r="O62" s="596">
        <f>N62*K62</f>
        <v>0</v>
      </c>
      <c r="P62" s="310">
        <f t="shared" ref="P62:P63" si="19">+O62+M62+K62</f>
        <v>0</v>
      </c>
      <c r="Q62" s="288"/>
      <c r="R62" s="422">
        <f>G62*H62/12</f>
        <v>0</v>
      </c>
    </row>
    <row r="63" spans="1:18">
      <c r="A63" s="419"/>
      <c r="B63" s="594"/>
      <c r="C63" s="595"/>
      <c r="D63" s="595"/>
      <c r="E63" s="595"/>
      <c r="F63" s="605" t="str">
        <f>F62</f>
        <v xml:space="preserve">   </v>
      </c>
      <c r="G63" s="562"/>
      <c r="H63" s="561"/>
      <c r="I63" s="628"/>
      <c r="J63" s="443" t="s">
        <v>561</v>
      </c>
      <c r="K63" s="637">
        <f>ROUND((G63)*H63*I63,0)</f>
        <v>0</v>
      </c>
      <c r="L63" s="420"/>
      <c r="M63" s="310">
        <f>ROUND(K63*L63,0)</f>
        <v>0</v>
      </c>
      <c r="N63" s="421"/>
      <c r="O63" s="596">
        <f>N63*K63</f>
        <v>0</v>
      </c>
      <c r="P63" s="310">
        <f t="shared" si="19"/>
        <v>0</v>
      </c>
      <c r="Q63" s="288"/>
      <c r="R63" s="422">
        <f>G63*H63/12</f>
        <v>0</v>
      </c>
    </row>
    <row r="64" spans="1:18">
      <c r="A64" s="430"/>
      <c r="B64" s="563"/>
      <c r="C64" s="563"/>
      <c r="D64" s="563"/>
      <c r="E64" s="563"/>
      <c r="F64" s="446"/>
      <c r="G64" s="446"/>
      <c r="H64" s="604"/>
      <c r="I64" s="632"/>
      <c r="J64" s="446"/>
      <c r="K64" s="632"/>
      <c r="L64" s="446"/>
      <c r="M64" s="632"/>
      <c r="N64" s="446"/>
      <c r="O64" s="503"/>
      <c r="P64" s="599"/>
      <c r="Q64" s="411"/>
      <c r="R64" s="423">
        <f>SUBTOTAL(9,R62:R63)</f>
        <v>0</v>
      </c>
    </row>
    <row r="65" spans="1:18">
      <c r="A65" s="419">
        <v>20</v>
      </c>
      <c r="B65" s="594"/>
      <c r="C65" s="595"/>
      <c r="D65" s="595"/>
      <c r="E65" s="595"/>
      <c r="F65" s="407" t="str">
        <f t="shared" si="1"/>
        <v xml:space="preserve">   </v>
      </c>
      <c r="G65" s="562"/>
      <c r="H65" s="561"/>
      <c r="I65" s="628"/>
      <c r="J65" s="443" t="s">
        <v>561</v>
      </c>
      <c r="K65" s="637">
        <f>ROUND((G65)*H65*I65,0)</f>
        <v>0</v>
      </c>
      <c r="L65" s="420"/>
      <c r="M65" s="310">
        <f>ROUND(K65*L65,0)</f>
        <v>0</v>
      </c>
      <c r="N65" s="421"/>
      <c r="O65" s="596">
        <f>N65*K65</f>
        <v>0</v>
      </c>
      <c r="P65" s="310">
        <f t="shared" si="0"/>
        <v>0</v>
      </c>
      <c r="Q65" s="288"/>
      <c r="R65" s="422">
        <f>G65*H65/12</f>
        <v>0</v>
      </c>
    </row>
    <row r="66" spans="1:18">
      <c r="A66" s="419"/>
      <c r="B66" s="594"/>
      <c r="C66" s="595"/>
      <c r="D66" s="595"/>
      <c r="E66" s="595"/>
      <c r="F66" s="605" t="str">
        <f>F65</f>
        <v xml:space="preserve">   </v>
      </c>
      <c r="G66" s="562"/>
      <c r="H66" s="561"/>
      <c r="I66" s="628"/>
      <c r="J66" s="443" t="s">
        <v>561</v>
      </c>
      <c r="K66" s="637">
        <f>ROUND((G66)*H66*I66,0)</f>
        <v>0</v>
      </c>
      <c r="L66" s="420"/>
      <c r="M66" s="310">
        <f>ROUND(K66*L66,0)</f>
        <v>0</v>
      </c>
      <c r="N66" s="421"/>
      <c r="O66" s="596">
        <f>N66*K66</f>
        <v>0</v>
      </c>
      <c r="P66" s="310">
        <f t="shared" si="0"/>
        <v>0</v>
      </c>
      <c r="Q66" s="288"/>
      <c r="R66" s="422">
        <f>G66*H66/12</f>
        <v>0</v>
      </c>
    </row>
    <row r="67" spans="1:18">
      <c r="A67" s="430"/>
      <c r="B67" s="563"/>
      <c r="C67" s="563"/>
      <c r="D67" s="563"/>
      <c r="E67" s="563"/>
      <c r="F67" s="446"/>
      <c r="G67" s="603"/>
      <c r="H67" s="604"/>
      <c r="I67" s="632"/>
      <c r="J67" s="446"/>
      <c r="K67" s="632"/>
      <c r="L67" s="446"/>
      <c r="M67" s="632"/>
      <c r="N67" s="446"/>
      <c r="O67" s="503"/>
      <c r="P67" s="599"/>
      <c r="Q67" s="411"/>
      <c r="R67" s="423">
        <f>SUBTOTAL(9,R65:R66)</f>
        <v>0</v>
      </c>
    </row>
    <row r="68" spans="1:18">
      <c r="A68"/>
      <c r="B68"/>
      <c r="C68"/>
      <c r="E68" s="287"/>
      <c r="F68" s="287"/>
      <c r="G68" s="287"/>
      <c r="H68" s="287"/>
      <c r="I68" s="634"/>
      <c r="J68" s="444"/>
      <c r="K68" s="600"/>
      <c r="L68" s="412"/>
      <c r="M68" s="600"/>
      <c r="N68" s="411"/>
      <c r="O68" s="597"/>
      <c r="P68" s="600"/>
      <c r="Q68" s="288"/>
      <c r="R68" s="413"/>
    </row>
    <row r="69" spans="1:18">
      <c r="A69"/>
      <c r="B69"/>
      <c r="C69"/>
      <c r="E69" s="287"/>
      <c r="F69" s="426" t="s">
        <v>487</v>
      </c>
      <c r="G69" s="424"/>
      <c r="H69" s="425"/>
      <c r="I69" s="635"/>
      <c r="J69" s="445"/>
      <c r="K69" s="601">
        <f>SUM(K8:K67)</f>
        <v>0</v>
      </c>
      <c r="L69" s="428"/>
      <c r="M69" s="601">
        <f>SUM(M8:M67)</f>
        <v>0</v>
      </c>
      <c r="N69" s="427"/>
      <c r="O69" s="598">
        <f>SUM(O8:O67)</f>
        <v>0</v>
      </c>
      <c r="P69" s="601">
        <f>SUM(P8:P67)</f>
        <v>0</v>
      </c>
      <c r="Q69" s="602"/>
      <c r="R69" s="429">
        <f>SUBTOTAL(9,R8:R67)</f>
        <v>0</v>
      </c>
    </row>
    <row r="70" spans="1:18">
      <c r="A70"/>
      <c r="B70"/>
      <c r="C70"/>
      <c r="E70" s="287"/>
      <c r="F70" s="109"/>
      <c r="G70"/>
      <c r="M70" s="629"/>
    </row>
    <row r="71" spans="1:18" s="167" customFormat="1">
      <c r="E71" s="506"/>
      <c r="F71" s="570"/>
      <c r="I71" s="636"/>
      <c r="K71" s="636"/>
      <c r="M71" s="636"/>
    </row>
    <row r="72" spans="1:18" s="167" customFormat="1">
      <c r="E72" s="506"/>
      <c r="F72" s="570"/>
      <c r="I72" s="636"/>
      <c r="K72" s="636"/>
      <c r="M72" s="636"/>
    </row>
    <row r="73" spans="1:18" s="167" customFormat="1">
      <c r="E73" s="506"/>
      <c r="F73" s="570"/>
      <c r="I73" s="636"/>
      <c r="K73" s="636"/>
      <c r="M73" s="636"/>
    </row>
    <row r="74" spans="1:18" s="167" customFormat="1">
      <c r="A74" s="506"/>
      <c r="B74" s="506"/>
      <c r="C74" s="570"/>
      <c r="G74" s="571"/>
      <c r="I74" s="636"/>
      <c r="K74" s="636"/>
      <c r="M74" s="640"/>
    </row>
    <row r="75" spans="1:18" s="167" customFormat="1">
      <c r="A75" s="506"/>
      <c r="B75" s="506"/>
      <c r="C75" s="572"/>
      <c r="G75" s="571"/>
      <c r="I75" s="636"/>
      <c r="K75" s="636"/>
      <c r="M75" s="640"/>
    </row>
    <row r="76" spans="1:18" s="167" customFormat="1">
      <c r="A76" s="506"/>
      <c r="B76" s="506"/>
      <c r="C76" s="570"/>
      <c r="G76" s="571"/>
      <c r="I76" s="636"/>
      <c r="K76" s="636"/>
      <c r="M76" s="640"/>
    </row>
    <row r="77" spans="1:18" s="167" customFormat="1">
      <c r="A77" s="506"/>
      <c r="B77" s="506"/>
      <c r="C77" s="570"/>
      <c r="G77" s="571"/>
      <c r="I77" s="636"/>
      <c r="K77" s="636"/>
      <c r="M77" s="640"/>
    </row>
    <row r="78" spans="1:18" s="167" customFormat="1">
      <c r="A78" s="506"/>
      <c r="B78" s="506"/>
      <c r="C78" s="570"/>
      <c r="G78" s="571"/>
      <c r="I78" s="636"/>
      <c r="K78" s="636"/>
      <c r="M78" s="640"/>
    </row>
    <row r="79" spans="1:18" s="167" customFormat="1">
      <c r="A79" s="506"/>
      <c r="B79" s="506"/>
      <c r="C79" s="570"/>
      <c r="G79" s="571"/>
      <c r="I79" s="636"/>
      <c r="K79" s="636"/>
      <c r="M79" s="640"/>
    </row>
    <row r="80" spans="1:18" s="167" customFormat="1">
      <c r="A80" s="506"/>
      <c r="B80" s="506"/>
      <c r="C80" s="570"/>
      <c r="G80" s="571"/>
      <c r="I80" s="636"/>
      <c r="K80" s="636"/>
      <c r="M80" s="640"/>
    </row>
    <row r="81" spans="1:13" s="167" customFormat="1">
      <c r="A81" s="506"/>
      <c r="B81" s="506"/>
      <c r="C81" s="570"/>
      <c r="G81" s="571"/>
      <c r="I81" s="636"/>
      <c r="K81" s="636"/>
      <c r="M81" s="640"/>
    </row>
    <row r="82" spans="1:13" s="167" customFormat="1">
      <c r="A82" s="506"/>
      <c r="B82" s="506"/>
      <c r="C82" s="570"/>
      <c r="G82" s="571"/>
      <c r="I82" s="636"/>
      <c r="K82" s="636"/>
      <c r="M82" s="640"/>
    </row>
    <row r="83" spans="1:13" s="167" customFormat="1">
      <c r="A83" s="506"/>
      <c r="B83" s="506"/>
      <c r="C83" s="570"/>
      <c r="G83" s="571"/>
      <c r="I83" s="636"/>
      <c r="K83" s="636"/>
      <c r="M83" s="640"/>
    </row>
    <row r="84" spans="1:13" s="167" customFormat="1">
      <c r="A84" s="506"/>
      <c r="B84" s="506"/>
      <c r="C84" s="570"/>
      <c r="G84" s="571"/>
      <c r="I84" s="636"/>
      <c r="K84" s="636"/>
      <c r="M84" s="640"/>
    </row>
    <row r="85" spans="1:13" s="167" customFormat="1">
      <c r="A85" s="506"/>
      <c r="B85" s="506"/>
      <c r="C85" s="570"/>
      <c r="G85" s="571"/>
      <c r="I85" s="636"/>
      <c r="K85" s="636"/>
      <c r="M85" s="640"/>
    </row>
    <row r="86" spans="1:13" s="167" customFormat="1">
      <c r="A86" s="506"/>
      <c r="B86" s="506"/>
      <c r="C86" s="570"/>
      <c r="G86" s="571"/>
      <c r="I86" s="636"/>
      <c r="K86" s="636"/>
      <c r="M86" s="640"/>
    </row>
    <row r="87" spans="1:13" s="167" customFormat="1">
      <c r="A87" s="506"/>
      <c r="B87" s="506"/>
      <c r="C87" s="570"/>
      <c r="G87" s="571"/>
      <c r="I87" s="636"/>
      <c r="K87" s="636"/>
      <c r="M87" s="640"/>
    </row>
    <row r="88" spans="1:13" s="167" customFormat="1">
      <c r="A88" s="506"/>
      <c r="B88" s="506"/>
      <c r="C88" s="570"/>
      <c r="G88" s="571"/>
      <c r="I88" s="636"/>
      <c r="K88" s="636"/>
      <c r="M88" s="640"/>
    </row>
    <row r="89" spans="1:13" s="167" customFormat="1">
      <c r="A89" s="506"/>
      <c r="B89" s="506"/>
      <c r="C89" s="570"/>
      <c r="G89" s="571"/>
      <c r="I89" s="636"/>
      <c r="K89" s="636"/>
      <c r="M89" s="640"/>
    </row>
    <row r="90" spans="1:13" s="167" customFormat="1">
      <c r="A90" s="506"/>
      <c r="B90" s="506"/>
      <c r="C90" s="570"/>
      <c r="G90" s="571"/>
      <c r="I90" s="636"/>
      <c r="K90" s="636"/>
      <c r="M90" s="640"/>
    </row>
    <row r="91" spans="1:13" s="167" customFormat="1">
      <c r="A91" s="506"/>
      <c r="B91" s="506"/>
      <c r="C91" s="570"/>
      <c r="G91" s="571"/>
      <c r="I91" s="636"/>
      <c r="K91" s="636"/>
      <c r="M91" s="640"/>
    </row>
    <row r="92" spans="1:13" s="167" customFormat="1">
      <c r="A92" s="506"/>
      <c r="B92" s="506"/>
      <c r="C92" s="570"/>
      <c r="G92" s="571"/>
      <c r="I92" s="636"/>
      <c r="K92" s="636"/>
      <c r="M92" s="640"/>
    </row>
    <row r="93" spans="1:13" s="167" customFormat="1">
      <c r="A93" s="506"/>
      <c r="B93" s="506"/>
      <c r="C93" s="570"/>
      <c r="G93" s="571"/>
      <c r="I93" s="636"/>
      <c r="K93" s="636"/>
      <c r="M93" s="640"/>
    </row>
    <row r="94" spans="1:13" s="167" customFormat="1">
      <c r="A94" s="506"/>
      <c r="B94" s="506"/>
      <c r="C94" s="570"/>
      <c r="G94" s="571"/>
      <c r="I94" s="636"/>
      <c r="K94" s="636"/>
      <c r="M94" s="640"/>
    </row>
    <row r="95" spans="1:13" s="167" customFormat="1">
      <c r="A95" s="506"/>
      <c r="B95" s="506"/>
      <c r="C95" s="570"/>
      <c r="G95" s="571"/>
      <c r="I95" s="636"/>
      <c r="K95" s="636"/>
      <c r="M95" s="640"/>
    </row>
    <row r="96" spans="1:13" s="167" customFormat="1">
      <c r="A96" s="506"/>
      <c r="B96" s="506"/>
      <c r="C96" s="570"/>
      <c r="G96" s="571"/>
      <c r="I96" s="636"/>
      <c r="K96" s="636"/>
      <c r="M96" s="640"/>
    </row>
    <row r="97" spans="1:13" s="167" customFormat="1">
      <c r="A97" s="506"/>
      <c r="B97" s="506"/>
      <c r="C97" s="570"/>
      <c r="G97" s="571"/>
      <c r="I97" s="636"/>
      <c r="K97" s="636"/>
      <c r="M97" s="640"/>
    </row>
    <row r="98" spans="1:13" s="167" customFormat="1">
      <c r="A98" s="506"/>
      <c r="B98" s="506"/>
      <c r="C98" s="570"/>
      <c r="G98" s="571"/>
      <c r="I98" s="636"/>
      <c r="K98" s="636"/>
      <c r="M98" s="640"/>
    </row>
    <row r="99" spans="1:13" s="167" customFormat="1">
      <c r="A99" s="506"/>
      <c r="B99" s="506"/>
      <c r="C99" s="570"/>
      <c r="G99" s="571"/>
      <c r="I99" s="636"/>
      <c r="K99" s="636"/>
      <c r="M99" s="640"/>
    </row>
    <row r="100" spans="1:13" s="167" customFormat="1">
      <c r="A100" s="506"/>
      <c r="B100" s="506"/>
      <c r="C100" s="570"/>
      <c r="G100" s="571"/>
      <c r="I100" s="636"/>
      <c r="K100" s="636"/>
      <c r="M100" s="640"/>
    </row>
    <row r="101" spans="1:13" s="167" customFormat="1">
      <c r="A101" s="506"/>
      <c r="B101" s="506"/>
      <c r="C101" s="570"/>
      <c r="G101" s="571"/>
      <c r="I101" s="636"/>
      <c r="K101" s="636"/>
      <c r="M101" s="640"/>
    </row>
    <row r="102" spans="1:13" s="167" customFormat="1">
      <c r="A102" s="506"/>
      <c r="B102" s="506"/>
      <c r="C102" s="570"/>
      <c r="G102" s="571"/>
      <c r="I102" s="636"/>
      <c r="K102" s="636"/>
      <c r="M102" s="640"/>
    </row>
    <row r="103" spans="1:13" s="167" customFormat="1">
      <c r="A103" s="506"/>
      <c r="B103" s="506"/>
      <c r="C103" s="570"/>
      <c r="G103" s="571"/>
      <c r="I103" s="636"/>
      <c r="K103" s="636"/>
      <c r="M103" s="640"/>
    </row>
    <row r="104" spans="1:13" s="167" customFormat="1">
      <c r="A104" s="506"/>
      <c r="B104" s="506"/>
      <c r="C104" s="570"/>
      <c r="G104" s="571"/>
      <c r="I104" s="636"/>
      <c r="K104" s="636"/>
      <c r="M104" s="640"/>
    </row>
    <row r="105" spans="1:13" s="167" customFormat="1">
      <c r="A105" s="506"/>
      <c r="B105" s="506"/>
      <c r="C105" s="570"/>
      <c r="G105" s="571"/>
      <c r="I105" s="636"/>
      <c r="K105" s="636"/>
      <c r="M105" s="640"/>
    </row>
    <row r="106" spans="1:13" s="167" customFormat="1">
      <c r="A106" s="506"/>
      <c r="B106" s="506"/>
      <c r="C106" s="570"/>
      <c r="G106" s="571"/>
      <c r="I106" s="636"/>
      <c r="K106" s="636"/>
      <c r="M106" s="640"/>
    </row>
    <row r="107" spans="1:13" s="167" customFormat="1">
      <c r="A107" s="506"/>
      <c r="B107" s="506"/>
      <c r="C107" s="570"/>
      <c r="G107" s="571"/>
      <c r="I107" s="636"/>
      <c r="K107" s="636"/>
      <c r="M107" s="640"/>
    </row>
    <row r="108" spans="1:13" s="167" customFormat="1">
      <c r="A108" s="506"/>
      <c r="B108" s="506"/>
      <c r="C108" s="570"/>
      <c r="G108" s="571"/>
      <c r="I108" s="636"/>
      <c r="K108" s="636"/>
      <c r="M108" s="640"/>
    </row>
    <row r="109" spans="1:13" s="167" customFormat="1">
      <c r="A109" s="506"/>
      <c r="B109" s="506"/>
      <c r="C109" s="570"/>
      <c r="G109" s="571"/>
      <c r="I109" s="636"/>
      <c r="K109" s="636"/>
      <c r="M109" s="640"/>
    </row>
    <row r="110" spans="1:13" s="167" customFormat="1">
      <c r="A110" s="506"/>
      <c r="B110" s="506"/>
      <c r="C110" s="570"/>
      <c r="G110" s="571"/>
      <c r="I110" s="636"/>
      <c r="K110" s="636"/>
      <c r="M110" s="640"/>
    </row>
    <row r="111" spans="1:13" s="167" customFormat="1">
      <c r="A111" s="506"/>
      <c r="B111" s="506"/>
      <c r="C111" s="570"/>
      <c r="G111" s="571"/>
      <c r="I111" s="636"/>
      <c r="K111" s="636"/>
      <c r="M111" s="640"/>
    </row>
    <row r="112" spans="1:13" s="167" customFormat="1">
      <c r="A112" s="506"/>
      <c r="B112" s="506"/>
      <c r="C112" s="570"/>
      <c r="G112" s="571"/>
      <c r="I112" s="636"/>
      <c r="K112" s="636"/>
      <c r="M112" s="640"/>
    </row>
    <row r="113" spans="1:13" s="167" customFormat="1">
      <c r="A113" s="506"/>
      <c r="B113" s="506"/>
      <c r="C113" s="570"/>
      <c r="G113" s="571"/>
      <c r="I113" s="636"/>
      <c r="K113" s="636"/>
      <c r="M113" s="640"/>
    </row>
    <row r="114" spans="1:13" s="167" customFormat="1">
      <c r="A114" s="506"/>
      <c r="B114" s="506"/>
      <c r="C114" s="570"/>
      <c r="G114" s="571"/>
      <c r="I114" s="636"/>
      <c r="K114" s="636"/>
      <c r="M114" s="640"/>
    </row>
    <row r="115" spans="1:13" s="167" customFormat="1">
      <c r="A115" s="506"/>
      <c r="B115" s="506"/>
      <c r="C115" s="570"/>
      <c r="G115" s="571"/>
      <c r="I115" s="636"/>
      <c r="K115" s="636"/>
      <c r="M115" s="640"/>
    </row>
    <row r="116" spans="1:13" s="167" customFormat="1">
      <c r="A116" s="506"/>
      <c r="B116" s="506"/>
      <c r="C116" s="570"/>
      <c r="G116" s="571"/>
      <c r="I116" s="636"/>
      <c r="K116" s="636"/>
      <c r="M116" s="640"/>
    </row>
    <row r="117" spans="1:13" s="167" customFormat="1">
      <c r="A117" s="506"/>
      <c r="B117" s="506"/>
      <c r="C117" s="570"/>
      <c r="G117" s="571"/>
      <c r="I117" s="636"/>
      <c r="K117" s="636"/>
      <c r="M117" s="640"/>
    </row>
    <row r="118" spans="1:13" s="167" customFormat="1">
      <c r="A118" s="506"/>
      <c r="B118" s="506"/>
      <c r="C118" s="570"/>
      <c r="G118" s="571"/>
      <c r="I118" s="636"/>
      <c r="K118" s="636"/>
      <c r="M118" s="640"/>
    </row>
  </sheetData>
  <protectedRanges>
    <protectedRange sqref="L8:L9 N8:N9 G8:G9 G11:G12 G14:G15 G17:G18 L20:L21 N20:N21 G20:G21 L23:L24 N23:N24 G23:G24 L11:L12 N11:N12 L14:L15 N14:N15 L17:L18 N17:N18 L26:L30 N26:N30 G26:G30 L32:L33 N32:N33 G32:G33 L35:L36 N35:N36 G35:G36 L65:L66 N65:N66 G65:G66 L38:L39 N38:N39 G38:G39 L41:L42 N41:N42 G41:G42 L44:L45 N44:N45 G44:G45 L47:L48 N47:N48 G47:G48 L50:L51 N50:N51 G50:G51 L53:L54 N53:N54 G53:G54 L56:L57 N56:N57 G56:G57 L59:L60 N59:N60 G59:G60 L62:L63 N62:N63 G62:G63" name="Data Input"/>
  </protectedRanges>
  <mergeCells count="1">
    <mergeCell ref="A6:R6"/>
  </mergeCells>
  <dataValidations count="1">
    <dataValidation allowBlank="1" showInputMessage="1" showErrorMessage="1" prompt="This total should be equal to the Total Annual Costs" sqref="Q75 R69" xr:uid="{5ADE9429-5E5B-4F9E-B30D-563D6FF516CD}"/>
  </dataValidations>
  <hyperlinks>
    <hyperlink ref="F1" r:id="rId1" location="rate" xr:uid="{00000000-0004-0000-0400-000000000000}"/>
  </hyperlinks>
  <pageMargins left="0.7" right="0.7" top="0.75" bottom="0.75" header="0.3" footer="0.3"/>
  <pageSetup scale="71" orientation="landscape" r:id="rId2"/>
  <ignoredErrors>
    <ignoredError sqref="F15 F18:F23 F24:F39 F42:F66 F1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102"/>
  <sheetViews>
    <sheetView showGridLines="0" zoomScale="90" zoomScaleNormal="90" workbookViewId="0">
      <pane ySplit="13" topLeftCell="A14" activePane="bottomLeft" state="frozen"/>
      <selection pane="bottomLeft" activeCell="D8" sqref="D8"/>
    </sheetView>
  </sheetViews>
  <sheetFormatPr defaultRowHeight="15" outlineLevelCol="1"/>
  <cols>
    <col min="1" max="1" width="9.7109375" customWidth="1"/>
    <col min="2" max="2" width="29.140625" customWidth="1"/>
    <col min="3" max="3" width="11.85546875" customWidth="1"/>
    <col min="4" max="4" width="11.7109375" customWidth="1"/>
    <col min="5" max="5" width="12.7109375" customWidth="1"/>
    <col min="6" max="6" width="14.28515625" customWidth="1"/>
    <col min="7" max="7" width="14.85546875" customWidth="1" outlineLevel="1"/>
    <col min="8" max="8" width="15.140625" customWidth="1" outlineLevel="1"/>
    <col min="9" max="11" width="11" customWidth="1" outlineLevel="1"/>
    <col min="12" max="12" width="13.42578125" customWidth="1"/>
    <col min="13" max="14" width="11" customWidth="1"/>
    <col min="15" max="15" width="2.28515625" customWidth="1"/>
    <col min="16" max="16" width="13.140625" customWidth="1" outlineLevel="1"/>
    <col min="17" max="17" width="14.7109375" customWidth="1" outlineLevel="1"/>
    <col min="18" max="18" width="10.85546875" customWidth="1" outlineLevel="1"/>
    <col min="19" max="19" width="14.7109375" customWidth="1" outlineLevel="1"/>
    <col min="20" max="20" width="11.85546875" customWidth="1" outlineLevel="1"/>
    <col min="21" max="21" width="14.7109375" customWidth="1" outlineLevel="1"/>
    <col min="22" max="22" width="11" customWidth="1" outlineLevel="1"/>
    <col min="23" max="23" width="14.7109375" customWidth="1" outlineLevel="1"/>
    <col min="24" max="24" width="11" customWidth="1" outlineLevel="1"/>
    <col min="25" max="25" width="14.7109375" customWidth="1" outlineLevel="1"/>
    <col min="26" max="26" width="11" customWidth="1" outlineLevel="1"/>
    <col min="27" max="27" width="14.7109375" customWidth="1" outlineLevel="1"/>
    <col min="28" max="28" width="11" customWidth="1"/>
    <col min="29" max="29" width="11" hidden="1" customWidth="1" outlineLevel="1"/>
    <col min="30" max="30" width="15.28515625" style="167" bestFit="1" customWidth="1" collapsed="1"/>
    <col min="31" max="31" width="10.42578125" style="167" customWidth="1"/>
    <col min="32" max="32" width="10.28515625" style="167" bestFit="1" customWidth="1"/>
    <col min="33" max="33" width="11.28515625" style="167" bestFit="1" customWidth="1"/>
    <col min="34" max="34" width="7.7109375" style="167" bestFit="1" customWidth="1"/>
    <col min="35" max="35" width="11.28515625" style="167" bestFit="1" customWidth="1"/>
    <col min="36" max="36" width="7.7109375" style="167" bestFit="1" customWidth="1"/>
    <col min="37" max="52" width="8.85546875" style="167"/>
  </cols>
  <sheetData>
    <row r="1" spans="1:52" ht="15.75">
      <c r="A1" s="336" t="s">
        <v>496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504"/>
    </row>
    <row r="2" spans="1:52" ht="15.75">
      <c r="A2" s="292" t="str">
        <f>Summary!C3</f>
        <v>Select Recharge Unit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504"/>
    </row>
    <row r="3" spans="1:52" ht="14.45" customHeight="1">
      <c r="G3" s="651" t="s">
        <v>498</v>
      </c>
      <c r="H3" s="652"/>
      <c r="I3" s="290"/>
      <c r="P3" s="653" t="s">
        <v>349</v>
      </c>
      <c r="Q3" s="654"/>
    </row>
    <row r="4" spans="1:52">
      <c r="G4" s="328">
        <v>1</v>
      </c>
      <c r="H4" s="465" t="s">
        <v>493</v>
      </c>
      <c r="I4" s="291"/>
      <c r="P4" s="328">
        <v>1</v>
      </c>
      <c r="Q4" s="465" t="s">
        <v>511</v>
      </c>
    </row>
    <row r="5" spans="1:52">
      <c r="E5" s="617"/>
      <c r="G5" s="328">
        <v>2</v>
      </c>
      <c r="H5" s="465" t="s">
        <v>494</v>
      </c>
      <c r="I5" s="291"/>
      <c r="P5" s="328">
        <v>2</v>
      </c>
      <c r="Q5" s="465" t="s">
        <v>517</v>
      </c>
      <c r="S5" s="12"/>
      <c r="T5" s="12"/>
    </row>
    <row r="6" spans="1:52">
      <c r="G6" s="328">
        <v>3</v>
      </c>
      <c r="H6" s="465" t="s">
        <v>495</v>
      </c>
      <c r="I6" s="291"/>
      <c r="P6" s="328">
        <v>3</v>
      </c>
      <c r="Q6" s="465" t="s">
        <v>552</v>
      </c>
    </row>
    <row r="7" spans="1:52">
      <c r="G7" s="328">
        <v>4</v>
      </c>
      <c r="H7" s="465" t="s">
        <v>512</v>
      </c>
      <c r="I7" s="291"/>
      <c r="P7" s="328">
        <v>4</v>
      </c>
      <c r="Q7" s="465" t="s">
        <v>514</v>
      </c>
    </row>
    <row r="8" spans="1:52">
      <c r="E8" s="617"/>
      <c r="G8" s="328">
        <v>5</v>
      </c>
      <c r="H8" s="465" t="s">
        <v>513</v>
      </c>
      <c r="I8" s="291"/>
      <c r="P8" s="328">
        <v>5</v>
      </c>
      <c r="Q8" s="465" t="s">
        <v>515</v>
      </c>
    </row>
    <row r="9" spans="1:52">
      <c r="G9" s="328"/>
      <c r="H9" s="465"/>
      <c r="I9" s="291"/>
      <c r="P9" s="328">
        <v>6</v>
      </c>
      <c r="Q9" s="465" t="s">
        <v>516</v>
      </c>
      <c r="S9" s="296"/>
    </row>
    <row r="10" spans="1:52" ht="18" customHeight="1">
      <c r="C10" s="15"/>
      <c r="D10" s="15"/>
      <c r="E10" s="15"/>
      <c r="F10" s="15"/>
      <c r="G10" s="657"/>
      <c r="H10" s="657"/>
      <c r="I10" s="657"/>
      <c r="J10" s="657"/>
      <c r="K10" s="657"/>
      <c r="L10" s="15"/>
      <c r="M10" s="15"/>
      <c r="N10" s="15"/>
      <c r="P10" s="15"/>
      <c r="Q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D10" s="505"/>
    </row>
    <row r="11" spans="1:52" ht="18" customHeight="1">
      <c r="C11" s="15"/>
      <c r="D11" s="15"/>
      <c r="E11" s="15"/>
      <c r="F11" s="15"/>
      <c r="G11" s="648" t="s">
        <v>556</v>
      </c>
      <c r="H11" s="649"/>
      <c r="I11" s="649"/>
      <c r="J11" s="649"/>
      <c r="K11" s="649"/>
      <c r="L11" s="650"/>
      <c r="M11" s="15"/>
      <c r="N11" s="15"/>
      <c r="P11" s="660" t="s">
        <v>553</v>
      </c>
      <c r="Q11" s="661"/>
      <c r="R11" s="661"/>
      <c r="S11" s="661"/>
      <c r="T11" s="661"/>
      <c r="U11" s="661"/>
      <c r="V11" s="661"/>
      <c r="W11" s="661"/>
      <c r="X11" s="661"/>
      <c r="Y11" s="661"/>
      <c r="Z11" s="661"/>
      <c r="AA11" s="661"/>
      <c r="AB11" s="662"/>
      <c r="AD11" s="505"/>
    </row>
    <row r="12" spans="1:52" s="287" customFormat="1">
      <c r="A12" s="656" t="s">
        <v>486</v>
      </c>
      <c r="B12" s="655" t="s">
        <v>316</v>
      </c>
      <c r="C12" s="658" t="s">
        <v>315</v>
      </c>
      <c r="D12" s="655" t="s">
        <v>1</v>
      </c>
      <c r="E12" s="655" t="s">
        <v>497</v>
      </c>
      <c r="F12" s="655" t="s">
        <v>356</v>
      </c>
      <c r="G12" s="655" t="s">
        <v>358</v>
      </c>
      <c r="H12" s="655"/>
      <c r="I12" s="655"/>
      <c r="J12" s="655"/>
      <c r="K12" s="655"/>
      <c r="L12" s="655"/>
      <c r="M12" s="655" t="s">
        <v>354</v>
      </c>
      <c r="N12" s="655" t="s">
        <v>357</v>
      </c>
      <c r="O12" s="416"/>
      <c r="P12" s="655" t="str">
        <f>+Q4</f>
        <v>Ex: Per Acre</v>
      </c>
      <c r="Q12" s="655" t="s">
        <v>370</v>
      </c>
      <c r="R12" s="655" t="str">
        <f>Q5</f>
        <v>Ex: Ground Prep Acre</v>
      </c>
      <c r="S12" s="655" t="s">
        <v>371</v>
      </c>
      <c r="T12" s="655" t="str">
        <f>Q6</f>
        <v>Ex: Direct Research</v>
      </c>
      <c r="U12" s="655" t="s">
        <v>372</v>
      </c>
      <c r="V12" s="655" t="str">
        <f>Q7</f>
        <v>Ex: Other Type</v>
      </c>
      <c r="W12" s="655" t="s">
        <v>403</v>
      </c>
      <c r="X12" s="655" t="str">
        <f>Q8</f>
        <v>Ex: Other Type 1</v>
      </c>
      <c r="Y12" s="655" t="s">
        <v>404</v>
      </c>
      <c r="Z12" s="655" t="str">
        <f>Q9</f>
        <v>Ex: Other Type 2</v>
      </c>
      <c r="AA12" s="655" t="s">
        <v>405</v>
      </c>
      <c r="AB12" s="655" t="s">
        <v>344</v>
      </c>
      <c r="AC12" s="659" t="s">
        <v>509</v>
      </c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W12" s="506"/>
      <c r="AX12" s="506"/>
      <c r="AY12" s="506"/>
      <c r="AZ12" s="506"/>
    </row>
    <row r="13" spans="1:52" s="15" customFormat="1" ht="30">
      <c r="A13" s="656"/>
      <c r="B13" s="655"/>
      <c r="C13" s="658"/>
      <c r="D13" s="655"/>
      <c r="E13" s="655"/>
      <c r="F13" s="655"/>
      <c r="G13" s="417" t="str">
        <f>H4</f>
        <v>Ex: Holiday</v>
      </c>
      <c r="H13" s="417" t="str">
        <f>H5</f>
        <v>Ex: Vacation</v>
      </c>
      <c r="I13" s="417" t="str">
        <f>H6</f>
        <v>Ex: Sick</v>
      </c>
      <c r="J13" s="417" t="str">
        <f>H7</f>
        <v>Ex: Non-Bill 1</v>
      </c>
      <c r="K13" s="417" t="str">
        <f>H8</f>
        <v>Ex: Non-Bill 2</v>
      </c>
      <c r="L13" s="417" t="s">
        <v>355</v>
      </c>
      <c r="M13" s="655"/>
      <c r="N13" s="655"/>
      <c r="O13" s="416"/>
      <c r="P13" s="655"/>
      <c r="Q13" s="655"/>
      <c r="R13" s="655"/>
      <c r="S13" s="655"/>
      <c r="T13" s="655"/>
      <c r="U13" s="655"/>
      <c r="V13" s="655"/>
      <c r="W13" s="655"/>
      <c r="X13" s="655"/>
      <c r="Y13" s="655"/>
      <c r="Z13" s="655"/>
      <c r="AA13" s="655"/>
      <c r="AB13" s="655"/>
      <c r="AC13" s="659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  <c r="AN13" s="505"/>
      <c r="AO13" s="505"/>
      <c r="AP13" s="505"/>
      <c r="AQ13" s="505"/>
      <c r="AR13" s="505"/>
      <c r="AS13" s="505"/>
      <c r="AT13" s="505"/>
      <c r="AU13" s="505"/>
      <c r="AV13" s="505"/>
      <c r="AW13" s="505"/>
      <c r="AX13" s="505"/>
      <c r="AY13" s="505"/>
      <c r="AZ13" s="505"/>
    </row>
    <row r="14" spans="1:52" ht="24.95" customHeight="1">
      <c r="A14" s="460">
        <v>1</v>
      </c>
      <c r="B14" s="305" t="str">
        <f>VLOOKUP(A14,'Salary &amp; Benefits'!$A$8:$F$67,6,FALSE)</f>
        <v xml:space="preserve">   </v>
      </c>
      <c r="C14" s="304">
        <f>IF(D14&gt;0,2088,0)</f>
        <v>0</v>
      </c>
      <c r="D14" s="306">
        <f>IFERROR(SUMIF('Salary &amp; Benefits'!$F$8:$F$67,'Productive Hours'!B14,'Salary &amp; Benefits'!$R$8:$R$67),0)</f>
        <v>0</v>
      </c>
      <c r="E14" s="304">
        <f>IFERROR(SUMIF('Salary &amp; Benefits'!$F$8:$F$67,'Productive Hours'!B14,'Salary &amp; Benefits'!$P$8:$P$67),0)</f>
        <v>0</v>
      </c>
      <c r="F14" s="319">
        <f>C14*D14</f>
        <v>0</v>
      </c>
      <c r="G14" s="589"/>
      <c r="H14" s="589"/>
      <c r="I14" s="589"/>
      <c r="J14" s="589"/>
      <c r="K14" s="589"/>
      <c r="L14" s="319">
        <f t="shared" ref="L14:L33" si="0">ROUND(SUM(G14:K14)*D14,0)</f>
        <v>0</v>
      </c>
      <c r="M14" s="319">
        <f>ROUND(F14-L14,0)</f>
        <v>0</v>
      </c>
      <c r="N14" s="319">
        <f>L14+M14</f>
        <v>0</v>
      </c>
      <c r="P14" s="589"/>
      <c r="Q14" s="308">
        <f>IFERROR(P14/M14,0)</f>
        <v>0</v>
      </c>
      <c r="R14" s="589"/>
      <c r="S14" s="303">
        <f t="shared" ref="S14:S33" si="1">IFERROR(R14/M14,0)</f>
        <v>0</v>
      </c>
      <c r="T14" s="589"/>
      <c r="U14" s="303">
        <f t="shared" ref="U14:U33" si="2">IFERROR(T14/M14,0)</f>
        <v>0</v>
      </c>
      <c r="V14" s="589"/>
      <c r="W14" s="303">
        <f>IFERROR(V14/M14,0)</f>
        <v>0</v>
      </c>
      <c r="X14" s="589"/>
      <c r="Y14" s="303">
        <f>IFERROR(X14/M14,0)</f>
        <v>0</v>
      </c>
      <c r="Z14" s="589"/>
      <c r="AA14" s="303">
        <f>IFERROR(Z14/M14,0)</f>
        <v>0</v>
      </c>
      <c r="AB14" s="319">
        <f>T14+P14+R14+V14+X14+Z14</f>
        <v>0</v>
      </c>
      <c r="AC14" s="289" t="b">
        <f>M14=AB14</f>
        <v>1</v>
      </c>
      <c r="AD14" s="507"/>
      <c r="AE14" s="499"/>
      <c r="AF14" s="499"/>
      <c r="AG14" s="499"/>
      <c r="AH14" s="499"/>
    </row>
    <row r="15" spans="1:52" ht="24.95" customHeight="1">
      <c r="A15" s="460">
        <v>2</v>
      </c>
      <c r="B15" s="305" t="str">
        <f>VLOOKUP(A15,'Salary &amp; Benefits'!$A$8:$F$67,6,FALSE)</f>
        <v xml:space="preserve">   </v>
      </c>
      <c r="C15" s="304">
        <f t="shared" ref="C15:C33" si="3">IF(D15&gt;0,2088,0)</f>
        <v>0</v>
      </c>
      <c r="D15" s="306">
        <f>IFERROR(SUMIF('Salary &amp; Benefits'!$F$8:$F$67,'Productive Hours'!B15,'Salary &amp; Benefits'!$R$8:$R$67),0)</f>
        <v>0</v>
      </c>
      <c r="E15" s="304">
        <f>IFERROR(SUMIF('Salary &amp; Benefits'!$F$8:$F$67,'Productive Hours'!B15,'Salary &amp; Benefits'!$P$8:$P$67),0)</f>
        <v>0</v>
      </c>
      <c r="F15" s="319">
        <f t="shared" ref="F15:F33" si="4">C15*D15</f>
        <v>0</v>
      </c>
      <c r="G15" s="589"/>
      <c r="H15" s="589"/>
      <c r="I15" s="589"/>
      <c r="J15" s="589"/>
      <c r="K15" s="589"/>
      <c r="L15" s="319">
        <f t="shared" si="0"/>
        <v>0</v>
      </c>
      <c r="M15" s="319">
        <f t="shared" ref="M15:M33" si="5">ROUND(F15-L15,0)</f>
        <v>0</v>
      </c>
      <c r="N15" s="319">
        <f t="shared" ref="N15:N33" si="6">L15+M15</f>
        <v>0</v>
      </c>
      <c r="P15" s="589"/>
      <c r="Q15" s="308">
        <f t="shared" ref="Q15:Q33" si="7">IFERROR(P15/M15,0)</f>
        <v>0</v>
      </c>
      <c r="R15" s="589"/>
      <c r="S15" s="303">
        <f t="shared" si="1"/>
        <v>0</v>
      </c>
      <c r="T15" s="589"/>
      <c r="U15" s="303">
        <f t="shared" si="2"/>
        <v>0</v>
      </c>
      <c r="V15" s="589"/>
      <c r="W15" s="303">
        <f t="shared" ref="W15:W33" si="8">IFERROR(V15/M15,0)</f>
        <v>0</v>
      </c>
      <c r="X15" s="589"/>
      <c r="Y15" s="303">
        <f t="shared" ref="Y15:Y33" si="9">IFERROR(X15/M15,0)</f>
        <v>0</v>
      </c>
      <c r="Z15" s="589"/>
      <c r="AA15" s="303">
        <f t="shared" ref="AA15:AA33" si="10">IFERROR(Z15/M15,0)</f>
        <v>0</v>
      </c>
      <c r="AB15" s="319">
        <f t="shared" ref="AB15:AB33" si="11">T15+P15+R15+V15+X15+Z15</f>
        <v>0</v>
      </c>
      <c r="AC15" s="289" t="b">
        <f t="shared" ref="AC15:AC34" si="12">M15=AB15</f>
        <v>1</v>
      </c>
      <c r="AD15" s="507"/>
      <c r="AE15" s="499"/>
      <c r="AF15" s="499"/>
      <c r="AG15" s="499"/>
      <c r="AH15" s="499"/>
    </row>
    <row r="16" spans="1:52" ht="24.95" customHeight="1">
      <c r="A16" s="460">
        <v>3</v>
      </c>
      <c r="B16" s="305" t="str">
        <f>VLOOKUP(A16,'Salary &amp; Benefits'!$A$8:$F$67,6,FALSE)</f>
        <v xml:space="preserve">   </v>
      </c>
      <c r="C16" s="304">
        <f t="shared" si="3"/>
        <v>0</v>
      </c>
      <c r="D16" s="306">
        <f>IFERROR(SUMIF('Salary &amp; Benefits'!$F$8:$F$67,'Productive Hours'!B16,'Salary &amp; Benefits'!$R$8:$R$67),0)</f>
        <v>0</v>
      </c>
      <c r="E16" s="304">
        <f>IFERROR(SUMIF('Salary &amp; Benefits'!$F$8:$F$67,'Productive Hours'!B16,'Salary &amp; Benefits'!$P$8:$P$67),0)</f>
        <v>0</v>
      </c>
      <c r="F16" s="319">
        <f t="shared" si="4"/>
        <v>0</v>
      </c>
      <c r="G16" s="589"/>
      <c r="H16" s="589"/>
      <c r="I16" s="589"/>
      <c r="J16" s="589"/>
      <c r="K16" s="589"/>
      <c r="L16" s="319">
        <f t="shared" si="0"/>
        <v>0</v>
      </c>
      <c r="M16" s="319">
        <f t="shared" si="5"/>
        <v>0</v>
      </c>
      <c r="N16" s="319">
        <f t="shared" si="6"/>
        <v>0</v>
      </c>
      <c r="P16" s="589"/>
      <c r="Q16" s="308">
        <f t="shared" si="7"/>
        <v>0</v>
      </c>
      <c r="R16" s="589"/>
      <c r="S16" s="303">
        <f t="shared" si="1"/>
        <v>0</v>
      </c>
      <c r="T16" s="589"/>
      <c r="U16" s="303">
        <f t="shared" si="2"/>
        <v>0</v>
      </c>
      <c r="V16" s="589"/>
      <c r="W16" s="303">
        <f t="shared" si="8"/>
        <v>0</v>
      </c>
      <c r="X16" s="589"/>
      <c r="Y16" s="303">
        <f t="shared" si="9"/>
        <v>0</v>
      </c>
      <c r="Z16" s="589"/>
      <c r="AA16" s="303">
        <f t="shared" si="10"/>
        <v>0</v>
      </c>
      <c r="AB16" s="319">
        <f t="shared" si="11"/>
        <v>0</v>
      </c>
      <c r="AC16" s="289" t="b">
        <f t="shared" si="12"/>
        <v>1</v>
      </c>
      <c r="AD16" s="507"/>
      <c r="AE16" s="499"/>
      <c r="AF16" s="499"/>
      <c r="AG16" s="499"/>
      <c r="AH16" s="499"/>
    </row>
    <row r="17" spans="1:34" ht="24.95" customHeight="1">
      <c r="A17" s="460">
        <v>4</v>
      </c>
      <c r="B17" s="305" t="str">
        <f>VLOOKUP(A17,'Salary &amp; Benefits'!$A$8:$F$67,6,FALSE)</f>
        <v xml:space="preserve">   </v>
      </c>
      <c r="C17" s="304">
        <f t="shared" si="3"/>
        <v>0</v>
      </c>
      <c r="D17" s="306">
        <f>IFERROR(SUMIF('Salary &amp; Benefits'!$F$8:$F$67,'Productive Hours'!B17,'Salary &amp; Benefits'!$R$8:$R$67),0)</f>
        <v>0</v>
      </c>
      <c r="E17" s="304">
        <f>IFERROR(SUMIF('Salary &amp; Benefits'!$F$8:$F$67,'Productive Hours'!B17,'Salary &amp; Benefits'!$P$8:$P$67),0)</f>
        <v>0</v>
      </c>
      <c r="F17" s="319">
        <f t="shared" si="4"/>
        <v>0</v>
      </c>
      <c r="G17" s="589"/>
      <c r="H17" s="589"/>
      <c r="I17" s="589"/>
      <c r="J17" s="589"/>
      <c r="K17" s="589"/>
      <c r="L17" s="319">
        <f t="shared" si="0"/>
        <v>0</v>
      </c>
      <c r="M17" s="319">
        <f t="shared" si="5"/>
        <v>0</v>
      </c>
      <c r="N17" s="319">
        <f t="shared" si="6"/>
        <v>0</v>
      </c>
      <c r="P17" s="589"/>
      <c r="Q17" s="308">
        <f t="shared" si="7"/>
        <v>0</v>
      </c>
      <c r="R17" s="589"/>
      <c r="S17" s="303">
        <f t="shared" si="1"/>
        <v>0</v>
      </c>
      <c r="T17" s="589"/>
      <c r="U17" s="303">
        <f t="shared" si="2"/>
        <v>0</v>
      </c>
      <c r="V17" s="589"/>
      <c r="W17" s="303">
        <f t="shared" si="8"/>
        <v>0</v>
      </c>
      <c r="X17" s="589"/>
      <c r="Y17" s="303">
        <f t="shared" si="9"/>
        <v>0</v>
      </c>
      <c r="Z17" s="589"/>
      <c r="AA17" s="303">
        <f t="shared" si="10"/>
        <v>0</v>
      </c>
      <c r="AB17" s="319">
        <f t="shared" si="11"/>
        <v>0</v>
      </c>
      <c r="AC17" s="289" t="b">
        <f t="shared" si="12"/>
        <v>1</v>
      </c>
      <c r="AD17" s="507"/>
      <c r="AE17" s="499"/>
      <c r="AF17" s="499"/>
      <c r="AG17" s="499"/>
      <c r="AH17" s="499"/>
    </row>
    <row r="18" spans="1:34" ht="24.95" customHeight="1">
      <c r="A18" s="460">
        <v>5</v>
      </c>
      <c r="B18" s="305" t="str">
        <f>VLOOKUP(A18,'Salary &amp; Benefits'!$A$8:$F$67,6,FALSE)</f>
        <v xml:space="preserve">   </v>
      </c>
      <c r="C18" s="304">
        <f t="shared" si="3"/>
        <v>0</v>
      </c>
      <c r="D18" s="306">
        <f>IFERROR(SUMIF('Salary &amp; Benefits'!$F$8:$F$67,'Productive Hours'!B18,'Salary &amp; Benefits'!$R$8:$R$67),0)</f>
        <v>0</v>
      </c>
      <c r="E18" s="304">
        <f>IFERROR(SUMIF('Salary &amp; Benefits'!$F$8:$F$67,'Productive Hours'!B18,'Salary &amp; Benefits'!$P$8:$P$67),0)</f>
        <v>0</v>
      </c>
      <c r="F18" s="319">
        <f t="shared" si="4"/>
        <v>0</v>
      </c>
      <c r="G18" s="589"/>
      <c r="H18" s="589"/>
      <c r="I18" s="589"/>
      <c r="J18" s="589"/>
      <c r="K18" s="589"/>
      <c r="L18" s="319">
        <f t="shared" si="0"/>
        <v>0</v>
      </c>
      <c r="M18" s="319">
        <f t="shared" si="5"/>
        <v>0</v>
      </c>
      <c r="N18" s="319">
        <f t="shared" si="6"/>
        <v>0</v>
      </c>
      <c r="P18" s="589"/>
      <c r="Q18" s="308">
        <f t="shared" si="7"/>
        <v>0</v>
      </c>
      <c r="R18" s="589"/>
      <c r="S18" s="303">
        <f t="shared" si="1"/>
        <v>0</v>
      </c>
      <c r="T18" s="589"/>
      <c r="U18" s="303">
        <f t="shared" si="2"/>
        <v>0</v>
      </c>
      <c r="V18" s="589"/>
      <c r="W18" s="303">
        <f t="shared" si="8"/>
        <v>0</v>
      </c>
      <c r="X18" s="589"/>
      <c r="Y18" s="303">
        <f t="shared" si="9"/>
        <v>0</v>
      </c>
      <c r="Z18" s="589"/>
      <c r="AA18" s="303">
        <f t="shared" si="10"/>
        <v>0</v>
      </c>
      <c r="AB18" s="319">
        <f t="shared" si="11"/>
        <v>0</v>
      </c>
      <c r="AC18" s="289" t="b">
        <f t="shared" si="12"/>
        <v>1</v>
      </c>
      <c r="AD18" s="507"/>
      <c r="AE18" s="499"/>
      <c r="AF18" s="499"/>
      <c r="AG18" s="499"/>
      <c r="AH18" s="499"/>
    </row>
    <row r="19" spans="1:34" ht="24.95" customHeight="1">
      <c r="A19" s="460">
        <v>6</v>
      </c>
      <c r="B19" s="305" t="str">
        <f>VLOOKUP(A19,'Salary &amp; Benefits'!$A$8:$F$67,6,FALSE)</f>
        <v xml:space="preserve">   </v>
      </c>
      <c r="C19" s="304">
        <f t="shared" si="3"/>
        <v>0</v>
      </c>
      <c r="D19" s="306">
        <f>IFERROR(SUMIF('Salary &amp; Benefits'!$F$8:$F$67,'Productive Hours'!B19,'Salary &amp; Benefits'!$R$8:$R$67),0)</f>
        <v>0</v>
      </c>
      <c r="E19" s="304">
        <f>IFERROR(SUMIF('Salary &amp; Benefits'!$F$8:$F$67,'Productive Hours'!B19,'Salary &amp; Benefits'!$P$8:$P$67),0)</f>
        <v>0</v>
      </c>
      <c r="F19" s="319">
        <f t="shared" si="4"/>
        <v>0</v>
      </c>
      <c r="G19" s="589"/>
      <c r="H19" s="589"/>
      <c r="I19" s="589"/>
      <c r="J19" s="589"/>
      <c r="K19" s="589"/>
      <c r="L19" s="319">
        <f t="shared" si="0"/>
        <v>0</v>
      </c>
      <c r="M19" s="319">
        <f t="shared" si="5"/>
        <v>0</v>
      </c>
      <c r="N19" s="319">
        <f t="shared" si="6"/>
        <v>0</v>
      </c>
      <c r="P19" s="589"/>
      <c r="Q19" s="308">
        <f t="shared" si="7"/>
        <v>0</v>
      </c>
      <c r="R19" s="589"/>
      <c r="S19" s="303">
        <f t="shared" si="1"/>
        <v>0</v>
      </c>
      <c r="T19" s="589"/>
      <c r="U19" s="303">
        <f t="shared" si="2"/>
        <v>0</v>
      </c>
      <c r="V19" s="589"/>
      <c r="W19" s="303">
        <f t="shared" si="8"/>
        <v>0</v>
      </c>
      <c r="X19" s="589"/>
      <c r="Y19" s="303">
        <f t="shared" si="9"/>
        <v>0</v>
      </c>
      <c r="Z19" s="589"/>
      <c r="AA19" s="303">
        <f t="shared" si="10"/>
        <v>0</v>
      </c>
      <c r="AB19" s="319">
        <f t="shared" si="11"/>
        <v>0</v>
      </c>
      <c r="AC19" s="289" t="b">
        <f t="shared" si="12"/>
        <v>1</v>
      </c>
      <c r="AD19" s="507"/>
      <c r="AE19" s="499"/>
      <c r="AF19" s="499"/>
      <c r="AG19" s="499"/>
      <c r="AH19" s="499"/>
    </row>
    <row r="20" spans="1:34" ht="24.95" customHeight="1">
      <c r="A20" s="460">
        <v>7</v>
      </c>
      <c r="B20" s="305" t="str">
        <f>VLOOKUP(A20,'Salary &amp; Benefits'!$A$8:$F$67,6,FALSE)</f>
        <v xml:space="preserve">   </v>
      </c>
      <c r="C20" s="304">
        <f t="shared" si="3"/>
        <v>0</v>
      </c>
      <c r="D20" s="306">
        <f>IFERROR(SUMIF('Salary &amp; Benefits'!$F$8:$F$67,'Productive Hours'!B20,'Salary &amp; Benefits'!$R$8:$R$67),0)</f>
        <v>0</v>
      </c>
      <c r="E20" s="304">
        <f>IFERROR(SUMIF('Salary &amp; Benefits'!$F$8:$F$67,'Productive Hours'!B20,'Salary &amp; Benefits'!$P$8:$P$67),0)</f>
        <v>0</v>
      </c>
      <c r="F20" s="319">
        <f t="shared" si="4"/>
        <v>0</v>
      </c>
      <c r="G20" s="589"/>
      <c r="H20" s="589"/>
      <c r="I20" s="589"/>
      <c r="J20" s="589"/>
      <c r="K20" s="589"/>
      <c r="L20" s="319">
        <f t="shared" si="0"/>
        <v>0</v>
      </c>
      <c r="M20" s="319">
        <f t="shared" si="5"/>
        <v>0</v>
      </c>
      <c r="N20" s="319">
        <f t="shared" si="6"/>
        <v>0</v>
      </c>
      <c r="P20" s="589"/>
      <c r="Q20" s="308">
        <f t="shared" si="7"/>
        <v>0</v>
      </c>
      <c r="R20" s="589"/>
      <c r="S20" s="303">
        <f t="shared" si="1"/>
        <v>0</v>
      </c>
      <c r="T20" s="589"/>
      <c r="U20" s="303">
        <f t="shared" si="2"/>
        <v>0</v>
      </c>
      <c r="V20" s="589"/>
      <c r="W20" s="303">
        <f t="shared" si="8"/>
        <v>0</v>
      </c>
      <c r="X20" s="589"/>
      <c r="Y20" s="303">
        <f t="shared" si="9"/>
        <v>0</v>
      </c>
      <c r="Z20" s="589"/>
      <c r="AA20" s="303">
        <f t="shared" si="10"/>
        <v>0</v>
      </c>
      <c r="AB20" s="319">
        <f t="shared" si="11"/>
        <v>0</v>
      </c>
      <c r="AC20" s="289" t="b">
        <f t="shared" si="12"/>
        <v>1</v>
      </c>
    </row>
    <row r="21" spans="1:34" ht="24.95" customHeight="1">
      <c r="A21" s="460">
        <v>8</v>
      </c>
      <c r="B21" s="305" t="str">
        <f>VLOOKUP(A21,'Salary &amp; Benefits'!$A$8:$F$67,6,FALSE)</f>
        <v xml:space="preserve">   </v>
      </c>
      <c r="C21" s="304">
        <f t="shared" si="3"/>
        <v>0</v>
      </c>
      <c r="D21" s="306">
        <f>IFERROR(SUMIF('Salary &amp; Benefits'!$F$8:$F$67,'Productive Hours'!B21,'Salary &amp; Benefits'!$R$8:$R$67),0)</f>
        <v>0</v>
      </c>
      <c r="E21" s="304">
        <f>IFERROR(SUMIF('Salary &amp; Benefits'!$F$8:$F$67,'Productive Hours'!B21,'Salary &amp; Benefits'!$P$8:$P$67),0)</f>
        <v>0</v>
      </c>
      <c r="F21" s="319">
        <f t="shared" si="4"/>
        <v>0</v>
      </c>
      <c r="G21" s="589"/>
      <c r="H21" s="589"/>
      <c r="I21" s="589"/>
      <c r="J21" s="589"/>
      <c r="K21" s="589"/>
      <c r="L21" s="319">
        <f t="shared" si="0"/>
        <v>0</v>
      </c>
      <c r="M21" s="319">
        <f t="shared" si="5"/>
        <v>0</v>
      </c>
      <c r="N21" s="319">
        <f t="shared" si="6"/>
        <v>0</v>
      </c>
      <c r="P21" s="589"/>
      <c r="Q21" s="308">
        <f t="shared" si="7"/>
        <v>0</v>
      </c>
      <c r="R21" s="589"/>
      <c r="S21" s="303">
        <f t="shared" si="1"/>
        <v>0</v>
      </c>
      <c r="T21" s="589"/>
      <c r="U21" s="303">
        <f t="shared" si="2"/>
        <v>0</v>
      </c>
      <c r="V21" s="589"/>
      <c r="W21" s="303">
        <f t="shared" si="8"/>
        <v>0</v>
      </c>
      <c r="X21" s="589"/>
      <c r="Y21" s="303">
        <f t="shared" si="9"/>
        <v>0</v>
      </c>
      <c r="Z21" s="589"/>
      <c r="AA21" s="303">
        <f t="shared" si="10"/>
        <v>0</v>
      </c>
      <c r="AB21" s="319">
        <f t="shared" si="11"/>
        <v>0</v>
      </c>
      <c r="AC21" s="289" t="b">
        <f t="shared" si="12"/>
        <v>1</v>
      </c>
    </row>
    <row r="22" spans="1:34" ht="24.95" customHeight="1">
      <c r="A22" s="460">
        <v>9</v>
      </c>
      <c r="B22" s="305" t="str">
        <f>VLOOKUP(A22,'Salary &amp; Benefits'!$A$8:$F$67,6,FALSE)</f>
        <v xml:space="preserve">   </v>
      </c>
      <c r="C22" s="304">
        <f t="shared" si="3"/>
        <v>0</v>
      </c>
      <c r="D22" s="306">
        <f>IFERROR(SUMIF('Salary &amp; Benefits'!$F$8:$F$67,'Productive Hours'!B22,'Salary &amp; Benefits'!$R$8:$R$67),0)</f>
        <v>0</v>
      </c>
      <c r="E22" s="304">
        <f>IFERROR(SUMIF('Salary &amp; Benefits'!$F$8:$F$67,'Productive Hours'!B22,'Salary &amp; Benefits'!$P$8:$P$67),0)</f>
        <v>0</v>
      </c>
      <c r="F22" s="319">
        <f t="shared" si="4"/>
        <v>0</v>
      </c>
      <c r="G22" s="589"/>
      <c r="H22" s="589"/>
      <c r="I22" s="589"/>
      <c r="J22" s="589"/>
      <c r="K22" s="589"/>
      <c r="L22" s="319">
        <f t="shared" si="0"/>
        <v>0</v>
      </c>
      <c r="M22" s="319">
        <f t="shared" si="5"/>
        <v>0</v>
      </c>
      <c r="N22" s="319">
        <f t="shared" si="6"/>
        <v>0</v>
      </c>
      <c r="P22" s="589"/>
      <c r="Q22" s="308">
        <f t="shared" si="7"/>
        <v>0</v>
      </c>
      <c r="R22" s="589"/>
      <c r="S22" s="303">
        <f t="shared" si="1"/>
        <v>0</v>
      </c>
      <c r="T22" s="589"/>
      <c r="U22" s="303">
        <f t="shared" si="2"/>
        <v>0</v>
      </c>
      <c r="V22" s="589"/>
      <c r="W22" s="303">
        <f t="shared" si="8"/>
        <v>0</v>
      </c>
      <c r="X22" s="589"/>
      <c r="Y22" s="303">
        <f t="shared" si="9"/>
        <v>0</v>
      </c>
      <c r="Z22" s="589"/>
      <c r="AA22" s="303">
        <f t="shared" si="10"/>
        <v>0</v>
      </c>
      <c r="AB22" s="319">
        <f t="shared" si="11"/>
        <v>0</v>
      </c>
      <c r="AC22" s="289" t="b">
        <f t="shared" si="12"/>
        <v>1</v>
      </c>
    </row>
    <row r="23" spans="1:34" ht="24.95" customHeight="1">
      <c r="A23" s="460">
        <v>10</v>
      </c>
      <c r="B23" s="305" t="str">
        <f>VLOOKUP(A23,'Salary &amp; Benefits'!$A$8:$F$67,6,FALSE)</f>
        <v xml:space="preserve">   </v>
      </c>
      <c r="C23" s="304">
        <f t="shared" si="3"/>
        <v>0</v>
      </c>
      <c r="D23" s="306">
        <f>IFERROR(SUMIF('Salary &amp; Benefits'!$F$8:$F$67,'Productive Hours'!B23,'Salary &amp; Benefits'!$R$8:$R$67),0)</f>
        <v>0</v>
      </c>
      <c r="E23" s="304">
        <f>IFERROR(SUMIF('Salary &amp; Benefits'!$F$8:$F$67,'Productive Hours'!B23,'Salary &amp; Benefits'!$P$8:$P$67),0)</f>
        <v>0</v>
      </c>
      <c r="F23" s="319">
        <f t="shared" si="4"/>
        <v>0</v>
      </c>
      <c r="G23" s="589"/>
      <c r="H23" s="589"/>
      <c r="I23" s="589"/>
      <c r="J23" s="589"/>
      <c r="K23" s="589"/>
      <c r="L23" s="319">
        <f t="shared" si="0"/>
        <v>0</v>
      </c>
      <c r="M23" s="319">
        <f t="shared" si="5"/>
        <v>0</v>
      </c>
      <c r="N23" s="319">
        <f t="shared" si="6"/>
        <v>0</v>
      </c>
      <c r="P23" s="589"/>
      <c r="Q23" s="308">
        <f t="shared" si="7"/>
        <v>0</v>
      </c>
      <c r="R23" s="589"/>
      <c r="S23" s="303">
        <f t="shared" si="1"/>
        <v>0</v>
      </c>
      <c r="T23" s="589"/>
      <c r="U23" s="303">
        <f t="shared" si="2"/>
        <v>0</v>
      </c>
      <c r="V23" s="589"/>
      <c r="W23" s="303">
        <f t="shared" si="8"/>
        <v>0</v>
      </c>
      <c r="X23" s="589"/>
      <c r="Y23" s="303">
        <f t="shared" si="9"/>
        <v>0</v>
      </c>
      <c r="Z23" s="589"/>
      <c r="AA23" s="303">
        <f t="shared" si="10"/>
        <v>0</v>
      </c>
      <c r="AB23" s="319">
        <f t="shared" si="11"/>
        <v>0</v>
      </c>
      <c r="AC23" s="289" t="b">
        <f t="shared" si="12"/>
        <v>1</v>
      </c>
    </row>
    <row r="24" spans="1:34" ht="24.95" customHeight="1">
      <c r="A24" s="564">
        <v>11</v>
      </c>
      <c r="B24" s="305" t="str">
        <f>VLOOKUP(A24,'Salary &amp; Benefits'!$A$8:$F$67,6,FALSE)</f>
        <v xml:space="preserve">   </v>
      </c>
      <c r="C24" s="304">
        <f t="shared" si="3"/>
        <v>0</v>
      </c>
      <c r="D24" s="306">
        <f>IFERROR(SUMIF('Salary &amp; Benefits'!$F$8:$F$67,'Productive Hours'!B24,'Salary &amp; Benefits'!$R$8:$R$67),0)</f>
        <v>0</v>
      </c>
      <c r="E24" s="304">
        <f>IFERROR(SUMIF('Salary &amp; Benefits'!$F$8:$F$67,'Productive Hours'!B24,'Salary &amp; Benefits'!$P$8:$P$67),0)</f>
        <v>0</v>
      </c>
      <c r="F24" s="319">
        <f t="shared" si="4"/>
        <v>0</v>
      </c>
      <c r="G24" s="590"/>
      <c r="H24" s="590"/>
      <c r="I24" s="590"/>
      <c r="J24" s="590"/>
      <c r="K24" s="590"/>
      <c r="L24" s="319">
        <f t="shared" ref="L24:L32" si="13">ROUND(SUM(G24:K24)*D24,0)</f>
        <v>0</v>
      </c>
      <c r="M24" s="319">
        <f t="shared" ref="M24:M32" si="14">ROUND(F24-L24,0)</f>
        <v>0</v>
      </c>
      <c r="N24" s="319">
        <f t="shared" ref="N24:N32" si="15">L24+M24</f>
        <v>0</v>
      </c>
      <c r="P24" s="590"/>
      <c r="Q24" s="308">
        <f t="shared" si="7"/>
        <v>0</v>
      </c>
      <c r="R24" s="590"/>
      <c r="S24" s="303">
        <f t="shared" si="1"/>
        <v>0</v>
      </c>
      <c r="T24" s="590"/>
      <c r="U24" s="303">
        <f t="shared" si="2"/>
        <v>0</v>
      </c>
      <c r="V24" s="590"/>
      <c r="W24" s="303">
        <f t="shared" si="8"/>
        <v>0</v>
      </c>
      <c r="X24" s="590"/>
      <c r="Y24" s="303">
        <f t="shared" si="9"/>
        <v>0</v>
      </c>
      <c r="Z24" s="590"/>
      <c r="AA24" s="303">
        <f t="shared" si="10"/>
        <v>0</v>
      </c>
      <c r="AB24" s="319">
        <f t="shared" si="11"/>
        <v>0</v>
      </c>
      <c r="AC24" s="289" t="b">
        <f t="shared" si="12"/>
        <v>1</v>
      </c>
    </row>
    <row r="25" spans="1:34" ht="24.95" customHeight="1">
      <c r="A25" s="564">
        <v>12</v>
      </c>
      <c r="B25" s="305" t="str">
        <f>VLOOKUP(A25,'Salary &amp; Benefits'!$A$8:$F$67,6,FALSE)</f>
        <v xml:space="preserve">   </v>
      </c>
      <c r="C25" s="304">
        <f t="shared" si="3"/>
        <v>0</v>
      </c>
      <c r="D25" s="306">
        <f>IFERROR(SUMIF('Salary &amp; Benefits'!$F$8:$F$67,'Productive Hours'!B25,'Salary &amp; Benefits'!$R$8:$R$67),0)</f>
        <v>0</v>
      </c>
      <c r="E25" s="304">
        <f>IFERROR(SUMIF('Salary &amp; Benefits'!$F$8:$F$67,'Productive Hours'!B25,'Salary &amp; Benefits'!$P$8:$P$67),0)</f>
        <v>0</v>
      </c>
      <c r="F25" s="319">
        <f t="shared" si="4"/>
        <v>0</v>
      </c>
      <c r="G25" s="590"/>
      <c r="H25" s="590"/>
      <c r="I25" s="590"/>
      <c r="J25" s="590"/>
      <c r="K25" s="590"/>
      <c r="L25" s="319">
        <f t="shared" si="13"/>
        <v>0</v>
      </c>
      <c r="M25" s="319">
        <f t="shared" si="14"/>
        <v>0</v>
      </c>
      <c r="N25" s="319">
        <f t="shared" si="15"/>
        <v>0</v>
      </c>
      <c r="P25" s="590"/>
      <c r="Q25" s="308">
        <f t="shared" si="7"/>
        <v>0</v>
      </c>
      <c r="R25" s="590"/>
      <c r="S25" s="303">
        <f t="shared" si="1"/>
        <v>0</v>
      </c>
      <c r="T25" s="590"/>
      <c r="U25" s="303">
        <f t="shared" si="2"/>
        <v>0</v>
      </c>
      <c r="V25" s="590"/>
      <c r="W25" s="303">
        <f t="shared" si="8"/>
        <v>0</v>
      </c>
      <c r="X25" s="590"/>
      <c r="Y25" s="303">
        <f t="shared" si="9"/>
        <v>0</v>
      </c>
      <c r="Z25" s="590"/>
      <c r="AA25" s="303">
        <f t="shared" si="10"/>
        <v>0</v>
      </c>
      <c r="AB25" s="319">
        <f t="shared" si="11"/>
        <v>0</v>
      </c>
      <c r="AC25" s="289" t="b">
        <f t="shared" si="12"/>
        <v>1</v>
      </c>
    </row>
    <row r="26" spans="1:34" ht="24.95" customHeight="1">
      <c r="A26" s="564">
        <v>13</v>
      </c>
      <c r="B26" s="305" t="str">
        <f>VLOOKUP(A26,'Salary &amp; Benefits'!$A$8:$F$67,6,FALSE)</f>
        <v xml:space="preserve">   </v>
      </c>
      <c r="C26" s="304">
        <f t="shared" si="3"/>
        <v>0</v>
      </c>
      <c r="D26" s="306">
        <f>IFERROR(SUMIF('Salary &amp; Benefits'!$F$8:$F$67,'Productive Hours'!B26,'Salary &amp; Benefits'!$R$8:$R$67),0)</f>
        <v>0</v>
      </c>
      <c r="E26" s="304">
        <f>IFERROR(SUMIF('Salary &amp; Benefits'!$F$8:$F$67,'Productive Hours'!B26,'Salary &amp; Benefits'!$P$8:$P$67),0)</f>
        <v>0</v>
      </c>
      <c r="F26" s="319">
        <f t="shared" si="4"/>
        <v>0</v>
      </c>
      <c r="G26" s="590"/>
      <c r="H26" s="590"/>
      <c r="I26" s="590"/>
      <c r="J26" s="590"/>
      <c r="K26" s="590"/>
      <c r="L26" s="319">
        <f t="shared" si="13"/>
        <v>0</v>
      </c>
      <c r="M26" s="319">
        <f t="shared" si="14"/>
        <v>0</v>
      </c>
      <c r="N26" s="319">
        <f t="shared" si="15"/>
        <v>0</v>
      </c>
      <c r="P26" s="590"/>
      <c r="Q26" s="308">
        <f t="shared" si="7"/>
        <v>0</v>
      </c>
      <c r="R26" s="590"/>
      <c r="S26" s="303">
        <f t="shared" si="1"/>
        <v>0</v>
      </c>
      <c r="T26" s="590"/>
      <c r="U26" s="303">
        <f t="shared" si="2"/>
        <v>0</v>
      </c>
      <c r="V26" s="590"/>
      <c r="W26" s="303">
        <f t="shared" si="8"/>
        <v>0</v>
      </c>
      <c r="X26" s="590"/>
      <c r="Y26" s="303">
        <f t="shared" si="9"/>
        <v>0</v>
      </c>
      <c r="Z26" s="590"/>
      <c r="AA26" s="303">
        <f t="shared" si="10"/>
        <v>0</v>
      </c>
      <c r="AB26" s="319">
        <f t="shared" si="11"/>
        <v>0</v>
      </c>
      <c r="AC26" s="289" t="b">
        <f t="shared" si="12"/>
        <v>1</v>
      </c>
    </row>
    <row r="27" spans="1:34" ht="24.95" customHeight="1">
      <c r="A27" s="564">
        <v>14</v>
      </c>
      <c r="B27" s="305" t="str">
        <f>VLOOKUP(A27,'Salary &amp; Benefits'!$A$8:$F$67,6,FALSE)</f>
        <v xml:space="preserve">   </v>
      </c>
      <c r="C27" s="304">
        <f t="shared" si="3"/>
        <v>0</v>
      </c>
      <c r="D27" s="306">
        <f>IFERROR(SUMIF('Salary &amp; Benefits'!$F$8:$F$67,'Productive Hours'!B27,'Salary &amp; Benefits'!$R$8:$R$67),0)</f>
        <v>0</v>
      </c>
      <c r="E27" s="304">
        <f>IFERROR(SUMIF('Salary &amp; Benefits'!$F$8:$F$67,'Productive Hours'!B27,'Salary &amp; Benefits'!$P$8:$P$67),0)</f>
        <v>0</v>
      </c>
      <c r="F27" s="319">
        <f t="shared" si="4"/>
        <v>0</v>
      </c>
      <c r="G27" s="590"/>
      <c r="H27" s="590"/>
      <c r="I27" s="590"/>
      <c r="J27" s="590"/>
      <c r="K27" s="590"/>
      <c r="L27" s="319">
        <f t="shared" si="13"/>
        <v>0</v>
      </c>
      <c r="M27" s="319">
        <f t="shared" si="14"/>
        <v>0</v>
      </c>
      <c r="N27" s="319">
        <f t="shared" si="15"/>
        <v>0</v>
      </c>
      <c r="P27" s="590"/>
      <c r="Q27" s="308">
        <f t="shared" si="7"/>
        <v>0</v>
      </c>
      <c r="R27" s="590"/>
      <c r="S27" s="303">
        <f t="shared" si="1"/>
        <v>0</v>
      </c>
      <c r="T27" s="590"/>
      <c r="U27" s="303">
        <f t="shared" si="2"/>
        <v>0</v>
      </c>
      <c r="V27" s="590"/>
      <c r="W27" s="303">
        <f t="shared" si="8"/>
        <v>0</v>
      </c>
      <c r="X27" s="590"/>
      <c r="Y27" s="303">
        <f t="shared" si="9"/>
        <v>0</v>
      </c>
      <c r="Z27" s="590"/>
      <c r="AA27" s="303">
        <f t="shared" si="10"/>
        <v>0</v>
      </c>
      <c r="AB27" s="319">
        <f t="shared" si="11"/>
        <v>0</v>
      </c>
      <c r="AC27" s="289" t="b">
        <f t="shared" si="12"/>
        <v>1</v>
      </c>
    </row>
    <row r="28" spans="1:34" ht="24.95" customHeight="1">
      <c r="A28" s="564">
        <v>15</v>
      </c>
      <c r="B28" s="305" t="str">
        <f>VLOOKUP(A28,'Salary &amp; Benefits'!$A$8:$F$67,6,FALSE)</f>
        <v xml:space="preserve">   </v>
      </c>
      <c r="C28" s="304">
        <f t="shared" si="3"/>
        <v>0</v>
      </c>
      <c r="D28" s="306">
        <f>IFERROR(SUMIF('Salary &amp; Benefits'!$F$8:$F$67,'Productive Hours'!B28,'Salary &amp; Benefits'!$R$8:$R$67),0)</f>
        <v>0</v>
      </c>
      <c r="E28" s="304">
        <f>IFERROR(SUMIF('Salary &amp; Benefits'!$F$8:$F$67,'Productive Hours'!B28,'Salary &amp; Benefits'!$P$8:$P$67),0)</f>
        <v>0</v>
      </c>
      <c r="F28" s="319">
        <f t="shared" si="4"/>
        <v>0</v>
      </c>
      <c r="G28" s="590"/>
      <c r="H28" s="590"/>
      <c r="I28" s="590"/>
      <c r="J28" s="590"/>
      <c r="K28" s="590"/>
      <c r="L28" s="319">
        <f t="shared" si="13"/>
        <v>0</v>
      </c>
      <c r="M28" s="319">
        <f t="shared" si="14"/>
        <v>0</v>
      </c>
      <c r="N28" s="319">
        <f t="shared" si="15"/>
        <v>0</v>
      </c>
      <c r="P28" s="590"/>
      <c r="Q28" s="308">
        <f t="shared" si="7"/>
        <v>0</v>
      </c>
      <c r="R28" s="590"/>
      <c r="S28" s="303">
        <f t="shared" si="1"/>
        <v>0</v>
      </c>
      <c r="T28" s="590"/>
      <c r="U28" s="303">
        <f t="shared" si="2"/>
        <v>0</v>
      </c>
      <c r="V28" s="590"/>
      <c r="W28" s="303">
        <f t="shared" si="8"/>
        <v>0</v>
      </c>
      <c r="X28" s="590"/>
      <c r="Y28" s="303">
        <f t="shared" si="9"/>
        <v>0</v>
      </c>
      <c r="Z28" s="590"/>
      <c r="AA28" s="303">
        <f t="shared" si="10"/>
        <v>0</v>
      </c>
      <c r="AB28" s="319">
        <f t="shared" si="11"/>
        <v>0</v>
      </c>
      <c r="AC28" s="289" t="b">
        <f t="shared" si="12"/>
        <v>1</v>
      </c>
    </row>
    <row r="29" spans="1:34" ht="24.95" customHeight="1">
      <c r="A29" s="564">
        <v>16</v>
      </c>
      <c r="B29" s="305" t="str">
        <f>VLOOKUP(A29,'Salary &amp; Benefits'!$A$8:$F$67,6,FALSE)</f>
        <v xml:space="preserve">   </v>
      </c>
      <c r="C29" s="304">
        <f t="shared" si="3"/>
        <v>0</v>
      </c>
      <c r="D29" s="306">
        <f>IFERROR(SUMIF('Salary &amp; Benefits'!$F$8:$F$67,'Productive Hours'!B29,'Salary &amp; Benefits'!$R$8:$R$67),0)</f>
        <v>0</v>
      </c>
      <c r="E29" s="304">
        <f>IFERROR(SUMIF('Salary &amp; Benefits'!$F$8:$F$67,'Productive Hours'!B29,'Salary &amp; Benefits'!$P$8:$P$67),0)</f>
        <v>0</v>
      </c>
      <c r="F29" s="319">
        <f t="shared" si="4"/>
        <v>0</v>
      </c>
      <c r="G29" s="590"/>
      <c r="H29" s="590"/>
      <c r="I29" s="590"/>
      <c r="J29" s="590"/>
      <c r="K29" s="590"/>
      <c r="L29" s="319">
        <f t="shared" si="13"/>
        <v>0</v>
      </c>
      <c r="M29" s="319">
        <f t="shared" si="14"/>
        <v>0</v>
      </c>
      <c r="N29" s="319">
        <f t="shared" si="15"/>
        <v>0</v>
      </c>
      <c r="P29" s="590"/>
      <c r="Q29" s="308">
        <f t="shared" si="7"/>
        <v>0</v>
      </c>
      <c r="R29" s="590"/>
      <c r="S29" s="303">
        <f t="shared" si="1"/>
        <v>0</v>
      </c>
      <c r="T29" s="590"/>
      <c r="U29" s="303">
        <f t="shared" si="2"/>
        <v>0</v>
      </c>
      <c r="V29" s="590"/>
      <c r="W29" s="303">
        <f t="shared" si="8"/>
        <v>0</v>
      </c>
      <c r="X29" s="590"/>
      <c r="Y29" s="303">
        <f t="shared" si="9"/>
        <v>0</v>
      </c>
      <c r="Z29" s="590"/>
      <c r="AA29" s="303">
        <f t="shared" si="10"/>
        <v>0</v>
      </c>
      <c r="AB29" s="319">
        <f t="shared" si="11"/>
        <v>0</v>
      </c>
      <c r="AC29" s="289" t="b">
        <f t="shared" si="12"/>
        <v>1</v>
      </c>
    </row>
    <row r="30" spans="1:34" ht="24.95" customHeight="1">
      <c r="A30" s="564">
        <v>17</v>
      </c>
      <c r="B30" s="305" t="str">
        <f>VLOOKUP(A30,'Salary &amp; Benefits'!$A$8:$F$67,6,FALSE)</f>
        <v xml:space="preserve">   </v>
      </c>
      <c r="C30" s="304">
        <f t="shared" si="3"/>
        <v>0</v>
      </c>
      <c r="D30" s="306">
        <f>IFERROR(SUMIF('Salary &amp; Benefits'!$F$8:$F$67,'Productive Hours'!B30,'Salary &amp; Benefits'!$R$8:$R$67),0)</f>
        <v>0</v>
      </c>
      <c r="E30" s="304">
        <f>IFERROR(SUMIF('Salary &amp; Benefits'!$F$8:$F$67,'Productive Hours'!B30,'Salary &amp; Benefits'!$P$8:$P$67),0)</f>
        <v>0</v>
      </c>
      <c r="F30" s="319">
        <f t="shared" si="4"/>
        <v>0</v>
      </c>
      <c r="G30" s="590"/>
      <c r="H30" s="590"/>
      <c r="I30" s="590"/>
      <c r="J30" s="590"/>
      <c r="K30" s="590"/>
      <c r="L30" s="319">
        <f t="shared" si="13"/>
        <v>0</v>
      </c>
      <c r="M30" s="319">
        <f t="shared" si="14"/>
        <v>0</v>
      </c>
      <c r="N30" s="319">
        <f t="shared" si="15"/>
        <v>0</v>
      </c>
      <c r="P30" s="590"/>
      <c r="Q30" s="308">
        <f t="shared" si="7"/>
        <v>0</v>
      </c>
      <c r="R30" s="590"/>
      <c r="S30" s="303">
        <f t="shared" si="1"/>
        <v>0</v>
      </c>
      <c r="T30" s="590"/>
      <c r="U30" s="303">
        <f t="shared" si="2"/>
        <v>0</v>
      </c>
      <c r="V30" s="590"/>
      <c r="W30" s="303">
        <f t="shared" si="8"/>
        <v>0</v>
      </c>
      <c r="X30" s="590"/>
      <c r="Y30" s="303">
        <f t="shared" si="9"/>
        <v>0</v>
      </c>
      <c r="Z30" s="590"/>
      <c r="AA30" s="303">
        <f t="shared" si="10"/>
        <v>0</v>
      </c>
      <c r="AB30" s="319">
        <f t="shared" si="11"/>
        <v>0</v>
      </c>
      <c r="AC30" s="289" t="b">
        <f t="shared" si="12"/>
        <v>1</v>
      </c>
    </row>
    <row r="31" spans="1:34" ht="24.95" customHeight="1">
      <c r="A31" s="564">
        <v>18</v>
      </c>
      <c r="B31" s="305" t="str">
        <f>VLOOKUP(A31,'Salary &amp; Benefits'!$A$8:$F$67,6,FALSE)</f>
        <v xml:space="preserve">   </v>
      </c>
      <c r="C31" s="304">
        <f t="shared" si="3"/>
        <v>0</v>
      </c>
      <c r="D31" s="306">
        <f>IFERROR(SUMIF('Salary &amp; Benefits'!$F$8:$F$67,'Productive Hours'!B31,'Salary &amp; Benefits'!$R$8:$R$67),0)</f>
        <v>0</v>
      </c>
      <c r="E31" s="304">
        <f>IFERROR(SUMIF('Salary &amp; Benefits'!$F$8:$F$67,'Productive Hours'!B31,'Salary &amp; Benefits'!$P$8:$P$67),0)</f>
        <v>0</v>
      </c>
      <c r="F31" s="319">
        <f t="shared" si="4"/>
        <v>0</v>
      </c>
      <c r="G31" s="590"/>
      <c r="H31" s="590"/>
      <c r="I31" s="590"/>
      <c r="J31" s="590"/>
      <c r="K31" s="590"/>
      <c r="L31" s="319">
        <f t="shared" si="13"/>
        <v>0</v>
      </c>
      <c r="M31" s="319">
        <f t="shared" si="14"/>
        <v>0</v>
      </c>
      <c r="N31" s="319">
        <f t="shared" si="15"/>
        <v>0</v>
      </c>
      <c r="P31" s="590"/>
      <c r="Q31" s="308">
        <f t="shared" si="7"/>
        <v>0</v>
      </c>
      <c r="R31" s="590"/>
      <c r="S31" s="303">
        <f t="shared" si="1"/>
        <v>0</v>
      </c>
      <c r="T31" s="590"/>
      <c r="U31" s="303">
        <f t="shared" si="2"/>
        <v>0</v>
      </c>
      <c r="V31" s="590"/>
      <c r="W31" s="303">
        <f t="shared" si="8"/>
        <v>0</v>
      </c>
      <c r="X31" s="590"/>
      <c r="Y31" s="303">
        <f t="shared" si="9"/>
        <v>0</v>
      </c>
      <c r="Z31" s="590"/>
      <c r="AA31" s="303">
        <f t="shared" si="10"/>
        <v>0</v>
      </c>
      <c r="AB31" s="319">
        <f t="shared" si="11"/>
        <v>0</v>
      </c>
      <c r="AC31" s="289" t="b">
        <f t="shared" si="12"/>
        <v>1</v>
      </c>
    </row>
    <row r="32" spans="1:34" ht="24.95" customHeight="1">
      <c r="A32" s="564">
        <v>19</v>
      </c>
      <c r="B32" s="305" t="str">
        <f>VLOOKUP(A32,'Salary &amp; Benefits'!$A$8:$F$67,6,FALSE)</f>
        <v xml:space="preserve">   </v>
      </c>
      <c r="C32" s="304">
        <f t="shared" si="3"/>
        <v>0</v>
      </c>
      <c r="D32" s="306">
        <f>IFERROR(SUMIF('Salary &amp; Benefits'!$F$8:$F$67,'Productive Hours'!B32,'Salary &amp; Benefits'!$R$8:$R$67),0)</f>
        <v>0</v>
      </c>
      <c r="E32" s="304">
        <f>IFERROR(SUMIF('Salary &amp; Benefits'!$F$8:$F$67,'Productive Hours'!B32,'Salary &amp; Benefits'!$P$8:$P$67),0)</f>
        <v>0</v>
      </c>
      <c r="F32" s="319">
        <f t="shared" si="4"/>
        <v>0</v>
      </c>
      <c r="G32" s="590"/>
      <c r="H32" s="590"/>
      <c r="I32" s="590"/>
      <c r="J32" s="590"/>
      <c r="K32" s="590"/>
      <c r="L32" s="319">
        <f t="shared" si="13"/>
        <v>0</v>
      </c>
      <c r="M32" s="319">
        <f t="shared" si="14"/>
        <v>0</v>
      </c>
      <c r="N32" s="319">
        <f t="shared" si="15"/>
        <v>0</v>
      </c>
      <c r="P32" s="590"/>
      <c r="Q32" s="308">
        <f t="shared" si="7"/>
        <v>0</v>
      </c>
      <c r="R32" s="590"/>
      <c r="S32" s="303">
        <f t="shared" si="1"/>
        <v>0</v>
      </c>
      <c r="T32" s="590"/>
      <c r="U32" s="303">
        <f t="shared" si="2"/>
        <v>0</v>
      </c>
      <c r="V32" s="590"/>
      <c r="W32" s="303">
        <f t="shared" si="8"/>
        <v>0</v>
      </c>
      <c r="X32" s="590"/>
      <c r="Y32" s="303">
        <f t="shared" si="9"/>
        <v>0</v>
      </c>
      <c r="Z32" s="590"/>
      <c r="AA32" s="303">
        <f t="shared" si="10"/>
        <v>0</v>
      </c>
      <c r="AB32" s="319">
        <f t="shared" si="11"/>
        <v>0</v>
      </c>
      <c r="AC32" s="289" t="b">
        <f t="shared" si="12"/>
        <v>1</v>
      </c>
    </row>
    <row r="33" spans="1:52" ht="24.95" customHeight="1">
      <c r="A33" s="460">
        <v>20</v>
      </c>
      <c r="B33" s="305" t="str">
        <f>VLOOKUP(A33,'Salary &amp; Benefits'!$A$8:$F$67,6,FALSE)</f>
        <v xml:space="preserve">   </v>
      </c>
      <c r="C33" s="304">
        <f t="shared" si="3"/>
        <v>0</v>
      </c>
      <c r="D33" s="306">
        <f>IFERROR(SUMIF('Salary &amp; Benefits'!$F$8:$F$67,'Productive Hours'!B33,'Salary &amp; Benefits'!$R$8:$R$67),0)</f>
        <v>0</v>
      </c>
      <c r="E33" s="304">
        <f>IFERROR(SUMIF('Salary &amp; Benefits'!$F$8:$F$67,'Productive Hours'!B33,'Salary &amp; Benefits'!$P$8:$P$67),0)</f>
        <v>0</v>
      </c>
      <c r="F33" s="319">
        <f t="shared" si="4"/>
        <v>0</v>
      </c>
      <c r="G33" s="589"/>
      <c r="H33" s="589"/>
      <c r="I33" s="589"/>
      <c r="J33" s="589"/>
      <c r="K33" s="589"/>
      <c r="L33" s="319">
        <f t="shared" si="0"/>
        <v>0</v>
      </c>
      <c r="M33" s="319">
        <f t="shared" si="5"/>
        <v>0</v>
      </c>
      <c r="N33" s="319">
        <f t="shared" si="6"/>
        <v>0</v>
      </c>
      <c r="P33" s="589"/>
      <c r="Q33" s="308">
        <f t="shared" si="7"/>
        <v>0</v>
      </c>
      <c r="R33" s="589"/>
      <c r="S33" s="303">
        <f t="shared" si="1"/>
        <v>0</v>
      </c>
      <c r="T33" s="589"/>
      <c r="U33" s="303">
        <f t="shared" si="2"/>
        <v>0</v>
      </c>
      <c r="V33" s="589"/>
      <c r="W33" s="303">
        <f t="shared" si="8"/>
        <v>0</v>
      </c>
      <c r="X33" s="589"/>
      <c r="Y33" s="303">
        <f t="shared" si="9"/>
        <v>0</v>
      </c>
      <c r="Z33" s="589"/>
      <c r="AA33" s="303">
        <f t="shared" si="10"/>
        <v>0</v>
      </c>
      <c r="AB33" s="319">
        <f t="shared" si="11"/>
        <v>0</v>
      </c>
      <c r="AC33" s="289" t="b">
        <f t="shared" si="12"/>
        <v>1</v>
      </c>
    </row>
    <row r="34" spans="1:52" s="12" customFormat="1" ht="24.95" customHeight="1">
      <c r="A34" s="328"/>
      <c r="B34" s="466" t="s">
        <v>225</v>
      </c>
      <c r="C34" s="307">
        <f t="shared" ref="C34:N34" si="16">SUM(C14:C33)</f>
        <v>0</v>
      </c>
      <c r="D34" s="461">
        <f t="shared" si="16"/>
        <v>0</v>
      </c>
      <c r="E34" s="307">
        <f t="shared" si="16"/>
        <v>0</v>
      </c>
      <c r="F34" s="319">
        <f t="shared" si="16"/>
        <v>0</v>
      </c>
      <c r="G34" s="591">
        <f t="shared" si="16"/>
        <v>0</v>
      </c>
      <c r="H34" s="591">
        <f t="shared" si="16"/>
        <v>0</v>
      </c>
      <c r="I34" s="591">
        <f t="shared" si="16"/>
        <v>0</v>
      </c>
      <c r="J34" s="591">
        <f t="shared" si="16"/>
        <v>0</v>
      </c>
      <c r="K34" s="591">
        <f t="shared" si="16"/>
        <v>0</v>
      </c>
      <c r="L34" s="591">
        <f t="shared" si="16"/>
        <v>0</v>
      </c>
      <c r="M34" s="319">
        <f t="shared" si="16"/>
        <v>0</v>
      </c>
      <c r="N34" s="319">
        <f t="shared" si="16"/>
        <v>0</v>
      </c>
      <c r="P34" s="591">
        <f>SUM(P14:P33)</f>
        <v>0</v>
      </c>
      <c r="Q34" s="463"/>
      <c r="R34" s="591">
        <f>SUM(R14:R33)</f>
        <v>0</v>
      </c>
      <c r="S34" s="463"/>
      <c r="T34" s="591">
        <f>SUM(T14:T33)</f>
        <v>0</v>
      </c>
      <c r="U34" s="464"/>
      <c r="V34" s="591">
        <f>SUM(V14:V33)</f>
        <v>0</v>
      </c>
      <c r="W34" s="464"/>
      <c r="X34" s="591">
        <f>SUM(X14:X33)</f>
        <v>0</v>
      </c>
      <c r="Y34" s="464"/>
      <c r="Z34" s="591">
        <f>SUM(Z14:Z33)</f>
        <v>0</v>
      </c>
      <c r="AA34" s="464"/>
      <c r="AB34" s="319">
        <f>SUM(AB14:AB33)</f>
        <v>0</v>
      </c>
      <c r="AC34" s="289" t="b">
        <f t="shared" si="12"/>
        <v>1</v>
      </c>
      <c r="AD34" s="508"/>
      <c r="AE34" s="509"/>
      <c r="AF34" s="509"/>
      <c r="AG34" s="509"/>
      <c r="AH34" s="509"/>
      <c r="AI34" s="509"/>
      <c r="AJ34" s="509"/>
      <c r="AK34" s="509"/>
      <c r="AL34" s="509"/>
      <c r="AM34" s="509"/>
      <c r="AN34" s="509"/>
      <c r="AO34" s="509"/>
      <c r="AP34" s="509"/>
      <c r="AQ34" s="509"/>
      <c r="AR34" s="509"/>
      <c r="AS34" s="509"/>
      <c r="AT34" s="509"/>
      <c r="AU34" s="509"/>
      <c r="AV34" s="509"/>
      <c r="AW34" s="509"/>
      <c r="AX34" s="509"/>
      <c r="AY34" s="509"/>
      <c r="AZ34" s="509"/>
    </row>
    <row r="35" spans="1:52">
      <c r="C35" s="455"/>
      <c r="D35" s="456"/>
      <c r="E35" s="455"/>
      <c r="F35" s="455"/>
      <c r="G35" s="457"/>
      <c r="H35" s="457"/>
      <c r="I35" s="457"/>
      <c r="J35" s="457"/>
      <c r="K35" s="457"/>
      <c r="L35" s="457"/>
      <c r="M35" s="406"/>
      <c r="N35" s="406"/>
      <c r="P35" s="456"/>
      <c r="Q35" s="458"/>
      <c r="R35" s="456"/>
      <c r="S35" s="458"/>
      <c r="T35" s="456"/>
      <c r="U35" s="459"/>
      <c r="V35" s="456"/>
      <c r="W35" s="459"/>
      <c r="X35" s="456"/>
      <c r="Y35" s="459"/>
      <c r="Z35" s="456"/>
      <c r="AA35" s="459"/>
      <c r="AB35" s="4"/>
    </row>
    <row r="36" spans="1:52" ht="15.75" thickBot="1">
      <c r="B36" s="467" t="s">
        <v>25</v>
      </c>
      <c r="C36" s="468">
        <f>C34</f>
        <v>0</v>
      </c>
      <c r="D36" s="469">
        <f t="shared" ref="D36:AB36" si="17">D34</f>
        <v>0</v>
      </c>
      <c r="E36" s="468">
        <f t="shared" si="17"/>
        <v>0</v>
      </c>
      <c r="F36" s="592">
        <f t="shared" si="17"/>
        <v>0</v>
      </c>
      <c r="G36" s="592">
        <f t="shared" si="17"/>
        <v>0</v>
      </c>
      <c r="H36" s="592">
        <f t="shared" si="17"/>
        <v>0</v>
      </c>
      <c r="I36" s="592">
        <f t="shared" si="17"/>
        <v>0</v>
      </c>
      <c r="J36" s="592">
        <f t="shared" si="17"/>
        <v>0</v>
      </c>
      <c r="K36" s="592">
        <f t="shared" si="17"/>
        <v>0</v>
      </c>
      <c r="L36" s="592">
        <f t="shared" si="17"/>
        <v>0</v>
      </c>
      <c r="M36" s="592">
        <f t="shared" si="17"/>
        <v>0</v>
      </c>
      <c r="N36" s="592">
        <f t="shared" si="17"/>
        <v>0</v>
      </c>
      <c r="P36" s="592">
        <f t="shared" ref="P36" si="18">P34</f>
        <v>0</v>
      </c>
      <c r="Q36" s="468">
        <f t="shared" si="17"/>
        <v>0</v>
      </c>
      <c r="R36" s="592">
        <f t="shared" si="17"/>
        <v>0</v>
      </c>
      <c r="S36" s="468">
        <f t="shared" si="17"/>
        <v>0</v>
      </c>
      <c r="T36" s="592">
        <f t="shared" si="17"/>
        <v>0</v>
      </c>
      <c r="U36" s="468">
        <f t="shared" si="17"/>
        <v>0</v>
      </c>
      <c r="V36" s="592">
        <f t="shared" si="17"/>
        <v>0</v>
      </c>
      <c r="W36" s="468">
        <f t="shared" si="17"/>
        <v>0</v>
      </c>
      <c r="X36" s="592">
        <f t="shared" si="17"/>
        <v>0</v>
      </c>
      <c r="Y36" s="468">
        <f t="shared" si="17"/>
        <v>0</v>
      </c>
      <c r="Z36" s="592"/>
      <c r="AA36" s="468"/>
      <c r="AB36" s="592">
        <f t="shared" si="17"/>
        <v>0</v>
      </c>
    </row>
    <row r="37" spans="1:52" ht="15.75" thickTop="1"/>
    <row r="38" spans="1:52" s="167" customFormat="1"/>
    <row r="39" spans="1:52" s="167" customFormat="1"/>
    <row r="40" spans="1:52" s="167" customFormat="1"/>
    <row r="41" spans="1:52" s="167" customFormat="1"/>
    <row r="42" spans="1:52" s="167" customFormat="1"/>
    <row r="43" spans="1:52" s="167" customFormat="1"/>
    <row r="44" spans="1:52" s="167" customFormat="1"/>
    <row r="45" spans="1:52" s="167" customFormat="1"/>
    <row r="46" spans="1:52" s="167" customFormat="1"/>
    <row r="47" spans="1:52" s="167" customFormat="1"/>
    <row r="48" spans="1:52" s="167" customFormat="1"/>
    <row r="49" s="167" customFormat="1"/>
    <row r="50" s="167" customFormat="1"/>
    <row r="51" s="167" customFormat="1"/>
    <row r="52" s="167" customFormat="1"/>
    <row r="53" s="167" customFormat="1"/>
    <row r="54" s="167" customFormat="1"/>
    <row r="55" s="167" customFormat="1"/>
    <row r="56" s="167" customFormat="1"/>
    <row r="57" s="167" customFormat="1"/>
    <row r="58" s="167" customFormat="1"/>
    <row r="59" s="167" customFormat="1"/>
    <row r="60" s="167" customFormat="1"/>
    <row r="61" s="167" customFormat="1"/>
    <row r="62" s="167" customFormat="1"/>
    <row r="63" s="167" customFormat="1"/>
    <row r="64" s="167" customFormat="1"/>
    <row r="65" s="167" customFormat="1"/>
    <row r="66" s="167" customFormat="1"/>
    <row r="67" s="167" customFormat="1"/>
    <row r="68" s="167" customFormat="1"/>
    <row r="69" s="167" customFormat="1"/>
    <row r="70" s="167" customFormat="1"/>
    <row r="71" s="167" customFormat="1"/>
    <row r="72" s="167" customFormat="1"/>
    <row r="73" s="167" customFormat="1"/>
    <row r="74" s="167" customFormat="1"/>
    <row r="75" s="167" customFormat="1"/>
    <row r="76" s="167" customFormat="1"/>
    <row r="77" s="167" customFormat="1"/>
    <row r="78" s="167" customFormat="1"/>
    <row r="79" s="167" customFormat="1"/>
    <row r="80" s="167" customFormat="1"/>
    <row r="81" s="167" customFormat="1"/>
    <row r="82" s="167" customFormat="1"/>
    <row r="83" s="167" customFormat="1"/>
    <row r="84" s="167" customFormat="1"/>
    <row r="85" s="167" customFormat="1"/>
    <row r="86" s="167" customFormat="1"/>
    <row r="87" s="167" customFormat="1"/>
    <row r="88" s="167" customFormat="1"/>
    <row r="89" s="167" customFormat="1"/>
    <row r="90" s="167" customFormat="1"/>
    <row r="91" s="167" customFormat="1"/>
    <row r="92" s="167" customFormat="1"/>
    <row r="93" s="167" customFormat="1"/>
    <row r="94" s="167" customFormat="1"/>
    <row r="95" s="167" customFormat="1"/>
    <row r="96" s="167" customFormat="1"/>
    <row r="97" s="167" customFormat="1"/>
    <row r="98" s="167" customFormat="1"/>
    <row r="99" s="167" customFormat="1"/>
    <row r="100" s="167" customFormat="1"/>
    <row r="101" s="167" customFormat="1"/>
    <row r="102" s="167" customFormat="1"/>
  </sheetData>
  <protectedRanges>
    <protectedRange sqref="G4:H9 T14:T33 S9 G14:K33 T6:T9 P4:Q9 C14:C33 R14:R33 P14:P33" name="Data Input"/>
  </protectedRanges>
  <mergeCells count="28">
    <mergeCell ref="AC12:AC13"/>
    <mergeCell ref="P11:AB11"/>
    <mergeCell ref="G11:L11"/>
    <mergeCell ref="F12:F13"/>
    <mergeCell ref="M12:M13"/>
    <mergeCell ref="N12:N13"/>
    <mergeCell ref="P12:P13"/>
    <mergeCell ref="AB12:AB13"/>
    <mergeCell ref="AA12:AA13"/>
    <mergeCell ref="Z12:Z13"/>
    <mergeCell ref="Y12:Y13"/>
    <mergeCell ref="X12:X13"/>
    <mergeCell ref="G3:H3"/>
    <mergeCell ref="P3:Q3"/>
    <mergeCell ref="W12:W13"/>
    <mergeCell ref="V12:V13"/>
    <mergeCell ref="A12:A13"/>
    <mergeCell ref="Q12:Q13"/>
    <mergeCell ref="R12:R13"/>
    <mergeCell ref="S12:S13"/>
    <mergeCell ref="T12:T13"/>
    <mergeCell ref="U12:U13"/>
    <mergeCell ref="G10:K10"/>
    <mergeCell ref="G12:L12"/>
    <mergeCell ref="B12:B13"/>
    <mergeCell ref="C12:C13"/>
    <mergeCell ref="D12:D13"/>
    <mergeCell ref="E12:E13"/>
  </mergeCells>
  <conditionalFormatting sqref="AC14:AC34">
    <cfRule type="cellIs" dxfId="2" priority="1" operator="equal">
      <formula>FALSE</formula>
    </cfRule>
  </conditionalFormatting>
  <dataValidations count="5">
    <dataValidation allowBlank="1" showInputMessage="1" showErrorMessage="1" prompt="Adjusted Billable hours in Column N should match Adjusted billable hours in column AA (by position)." sqref="AB34" xr:uid="{BEEE3419-28FF-4F65-8782-CC80ADACB388}"/>
    <dataValidation allowBlank="1" showInputMessage="1" showErrorMessage="1" prompt="Enter the type of Rates in the yellow cells. For Example, per acre rate, Direct research rate, etc." sqref="P3" xr:uid="{5884F49E-333D-4FD5-98B2-C5C6BDE87030}"/>
    <dataValidation allowBlank="1" showInputMessage="1" showErrorMessage="1" prompt="Enter the type of Non billable hours." sqref="G3" xr:uid="{D9397C07-4B12-4FE4-A19B-2C20FC91343D}"/>
    <dataValidation allowBlank="1" showInputMessage="1" showErrorMessage="1" prompt="User should enter 2088 if there is a position." sqref="C12:C13" xr:uid="{63D69882-EBA8-48E7-A4DF-EA5F5FDE5250}"/>
    <dataValidation allowBlank="1" showInputMessage="1" showErrorMessage="1" prompt="This total should equal the Check figure total in the Salary &amp; Benefits tab." sqref="D34:E34" xr:uid="{CA50F730-E266-4E6A-B1E4-BBEAB5F35BAA}"/>
  </dataValidations>
  <pageMargins left="0.7" right="0.7" top="0.75" bottom="0.75" header="0.3" footer="0.3"/>
  <pageSetup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F15"/>
  <sheetViews>
    <sheetView workbookViewId="0"/>
  </sheetViews>
  <sheetFormatPr defaultRowHeight="15"/>
  <cols>
    <col min="2" max="2" width="23" bestFit="1" customWidth="1"/>
    <col min="3" max="3" width="31.28515625" bestFit="1" customWidth="1"/>
    <col min="4" max="4" width="18.85546875" bestFit="1" customWidth="1"/>
    <col min="5" max="5" width="10.7109375" customWidth="1"/>
    <col min="6" max="6" width="23.42578125" bestFit="1" customWidth="1"/>
  </cols>
  <sheetData>
    <row r="4" spans="1:6">
      <c r="B4" s="29" t="s">
        <v>127</v>
      </c>
      <c r="C4" s="29" t="s">
        <v>126</v>
      </c>
      <c r="D4" s="30" t="s">
        <v>119</v>
      </c>
      <c r="E4" s="30" t="s">
        <v>100</v>
      </c>
      <c r="F4" s="30" t="s">
        <v>120</v>
      </c>
    </row>
    <row r="5" spans="1:6" ht="15" customHeight="1">
      <c r="B5" s="32" t="s">
        <v>204</v>
      </c>
      <c r="C5" s="33" t="e">
        <f>'Rate summary'!#REF!</f>
        <v>#REF!</v>
      </c>
      <c r="D5" s="31">
        <v>300</v>
      </c>
      <c r="E5" s="27">
        <v>100000</v>
      </c>
      <c r="F5" s="28">
        <f>E5/D5</f>
        <v>333.33333333333331</v>
      </c>
    </row>
    <row r="6" spans="1:6" ht="15" customHeight="1">
      <c r="B6" s="32" t="s">
        <v>205</v>
      </c>
      <c r="C6" s="33" t="e">
        <f>'Rate summary'!#REF!</f>
        <v>#REF!</v>
      </c>
      <c r="D6" s="31">
        <v>400</v>
      </c>
      <c r="E6" s="27">
        <v>140000</v>
      </c>
      <c r="F6" s="28">
        <f t="shared" ref="F6:F14" si="0">E6/D6</f>
        <v>350</v>
      </c>
    </row>
    <row r="7" spans="1:6">
      <c r="B7" s="32" t="s">
        <v>206</v>
      </c>
      <c r="C7" s="33" t="e">
        <f>'Rate summary'!#REF!</f>
        <v>#REF!</v>
      </c>
      <c r="D7" s="31">
        <v>500</v>
      </c>
      <c r="E7" s="27">
        <v>90000</v>
      </c>
      <c r="F7" s="28">
        <f t="shared" si="0"/>
        <v>180</v>
      </c>
    </row>
    <row r="8" spans="1:6">
      <c r="B8" s="32" t="s">
        <v>207</v>
      </c>
      <c r="C8" s="33"/>
      <c r="D8" s="31">
        <v>400</v>
      </c>
      <c r="E8" s="27">
        <v>90000</v>
      </c>
      <c r="F8" s="28">
        <f t="shared" si="0"/>
        <v>225</v>
      </c>
    </row>
    <row r="9" spans="1:6">
      <c r="B9" s="32" t="s">
        <v>19</v>
      </c>
      <c r="C9" s="33"/>
      <c r="D9" s="31">
        <v>300</v>
      </c>
      <c r="E9" s="27">
        <v>90000</v>
      </c>
      <c r="F9" s="28">
        <f t="shared" si="0"/>
        <v>300</v>
      </c>
    </row>
    <row r="10" spans="1:6">
      <c r="B10" s="32" t="s">
        <v>20</v>
      </c>
      <c r="C10" s="33"/>
      <c r="D10" s="31">
        <v>200</v>
      </c>
      <c r="E10" s="27">
        <v>90000</v>
      </c>
      <c r="F10" s="28">
        <f t="shared" si="0"/>
        <v>450</v>
      </c>
    </row>
    <row r="11" spans="1:6">
      <c r="B11" s="32" t="s">
        <v>21</v>
      </c>
      <c r="C11" s="33"/>
      <c r="D11" s="31">
        <v>50</v>
      </c>
      <c r="E11" s="27">
        <v>100000</v>
      </c>
      <c r="F11" s="28">
        <f t="shared" si="0"/>
        <v>2000</v>
      </c>
    </row>
    <row r="12" spans="1:6">
      <c r="B12" s="32" t="s">
        <v>22</v>
      </c>
      <c r="C12" s="33"/>
      <c r="D12" s="31">
        <v>300</v>
      </c>
      <c r="E12" s="27">
        <v>130000</v>
      </c>
      <c r="F12" s="28">
        <f t="shared" si="0"/>
        <v>433.33333333333331</v>
      </c>
    </row>
    <row r="13" spans="1:6">
      <c r="B13" s="32" t="s">
        <v>23</v>
      </c>
      <c r="C13" s="33"/>
      <c r="D13" s="31">
        <v>500</v>
      </c>
      <c r="E13" s="27">
        <v>100000</v>
      </c>
      <c r="F13" s="28">
        <f t="shared" si="0"/>
        <v>200</v>
      </c>
    </row>
    <row r="14" spans="1:6">
      <c r="A14" s="18"/>
      <c r="B14" s="32" t="s">
        <v>24</v>
      </c>
      <c r="C14" s="33"/>
      <c r="D14" s="31">
        <v>400</v>
      </c>
      <c r="E14" s="27">
        <v>70000</v>
      </c>
      <c r="F14" s="28">
        <f t="shared" si="0"/>
        <v>175</v>
      </c>
    </row>
    <row r="15" spans="1:6" s="12" customFormat="1">
      <c r="B15" s="34"/>
      <c r="C15" s="35" t="s">
        <v>25</v>
      </c>
      <c r="D15" s="36">
        <f>SUM(D5:D14)</f>
        <v>3350</v>
      </c>
      <c r="E15" s="37">
        <f>SUM(E5:E14)</f>
        <v>1000000</v>
      </c>
      <c r="F15" s="38">
        <f>E15/D15</f>
        <v>298.50746268656718</v>
      </c>
    </row>
  </sheetData>
  <pageMargins left="0.7" right="0.7" top="0.75" bottom="0.75" header="0.3" footer="0.3"/>
  <pageSetup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J65"/>
  <sheetViews>
    <sheetView showGridLines="0" zoomScale="85" zoomScaleNormal="85" workbookViewId="0">
      <pane ySplit="5" topLeftCell="A6" activePane="bottomLeft" state="frozen"/>
      <selection pane="bottomLeft" activeCell="I19" sqref="I19:I20"/>
    </sheetView>
  </sheetViews>
  <sheetFormatPr defaultColWidth="8.85546875" defaultRowHeight="15" outlineLevelRow="1" outlineLevelCol="1"/>
  <cols>
    <col min="1" max="1" width="11.42578125" customWidth="1"/>
    <col min="2" max="2" width="13.7109375" customWidth="1"/>
    <col min="3" max="3" width="13.5703125" bestFit="1" customWidth="1"/>
    <col min="4" max="4" width="37.5703125" customWidth="1"/>
    <col min="5" max="5" width="14.28515625" customWidth="1"/>
    <col min="6" max="6" width="16.7109375" customWidth="1"/>
    <col min="7" max="12" width="11.28515625" customWidth="1"/>
    <col min="13" max="13" width="5.28515625" customWidth="1"/>
    <col min="14" max="19" width="12" customWidth="1" outlineLevel="1"/>
    <col min="20" max="20" width="12" customWidth="1"/>
    <col min="21" max="21" width="5.28515625" customWidth="1"/>
    <col min="22" max="26" width="12" customWidth="1" outlineLevel="1"/>
    <col min="27" max="27" width="12" customWidth="1"/>
    <col min="28" max="28" width="5.28515625" customWidth="1"/>
    <col min="29" max="35" width="12" customWidth="1" outlineLevel="1"/>
    <col min="36" max="36" width="9.140625" customWidth="1"/>
    <col min="37" max="57" width="9.140625" style="167" customWidth="1"/>
    <col min="58" max="88" width="9.140625" customWidth="1"/>
  </cols>
  <sheetData>
    <row r="1" spans="1:88" ht="15.75">
      <c r="A1" s="336" t="s">
        <v>476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V1" s="12"/>
      <c r="W1" s="12"/>
      <c r="X1" s="12"/>
      <c r="Y1" s="12"/>
      <c r="Z1" s="12"/>
      <c r="AA1" s="12"/>
    </row>
    <row r="2" spans="1:88">
      <c r="A2" s="12" t="str">
        <f>Summary!C3</f>
        <v>Select Recharge Unit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V2" s="12"/>
      <c r="W2" s="12"/>
      <c r="X2" s="12"/>
      <c r="Y2" s="12"/>
      <c r="Z2" s="12"/>
      <c r="AA2" s="12"/>
    </row>
    <row r="3" spans="1:8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V3" s="15"/>
      <c r="W3" s="15"/>
      <c r="X3" s="15"/>
      <c r="Y3" s="15"/>
      <c r="Z3" s="15"/>
      <c r="AA3" s="15"/>
    </row>
    <row r="4" spans="1:88">
      <c r="A4" s="647" t="s">
        <v>366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15"/>
      <c r="N4" s="647" t="s">
        <v>472</v>
      </c>
      <c r="O4" s="647"/>
      <c r="P4" s="647"/>
      <c r="Q4" s="647"/>
      <c r="R4" s="647"/>
      <c r="S4" s="647"/>
      <c r="T4" s="647"/>
      <c r="V4" s="648" t="s">
        <v>559</v>
      </c>
      <c r="W4" s="649"/>
      <c r="X4" s="649"/>
      <c r="Y4" s="649"/>
      <c r="Z4" s="649"/>
      <c r="AA4" s="650"/>
      <c r="AC4" s="663" t="s">
        <v>475</v>
      </c>
      <c r="AD4" s="663"/>
      <c r="AE4" s="663"/>
      <c r="AF4" s="663"/>
      <c r="AG4" s="663"/>
      <c r="AH4" s="663"/>
      <c r="AI4" s="663"/>
    </row>
    <row r="5" spans="1:88" s="287" customFormat="1" ht="45">
      <c r="A5" s="431" t="s">
        <v>314</v>
      </c>
      <c r="B5" s="431" t="s">
        <v>474</v>
      </c>
      <c r="C5" s="431" t="s">
        <v>473</v>
      </c>
      <c r="D5" s="431" t="s">
        <v>471</v>
      </c>
      <c r="E5" s="431" t="s">
        <v>384</v>
      </c>
      <c r="F5" s="431" t="s">
        <v>385</v>
      </c>
      <c r="G5" s="407" t="str">
        <f>'Productive Hours'!$Q$4</f>
        <v>Ex: Per Acre</v>
      </c>
      <c r="H5" s="407" t="str">
        <f>'Productive Hours'!$Q$5</f>
        <v>Ex: Ground Prep Acre</v>
      </c>
      <c r="I5" s="407" t="str">
        <f>'Productive Hours'!$Q$6</f>
        <v>Ex: Direct Research</v>
      </c>
      <c r="J5" s="407" t="str">
        <f>'Productive Hours'!$Q$7</f>
        <v>Ex: Other Type</v>
      </c>
      <c r="K5" s="407" t="str">
        <f>'Productive Hours'!$Q$8</f>
        <v>Ex: Other Type 1</v>
      </c>
      <c r="L5" s="407" t="str">
        <f>'Productive Hours'!$Q$9</f>
        <v>Ex: Other Type 2</v>
      </c>
      <c r="M5" s="434"/>
      <c r="N5" s="407" t="str">
        <f>'Productive Hours'!$Q$4</f>
        <v>Ex: Per Acre</v>
      </c>
      <c r="O5" s="407" t="str">
        <f>'Productive Hours'!$Q$5</f>
        <v>Ex: Ground Prep Acre</v>
      </c>
      <c r="P5" s="407" t="str">
        <f>'Productive Hours'!$Q$6</f>
        <v>Ex: Direct Research</v>
      </c>
      <c r="Q5" s="407" t="str">
        <f>'Productive Hours'!$Q$7</f>
        <v>Ex: Other Type</v>
      </c>
      <c r="R5" s="407" t="str">
        <f>'Productive Hours'!$Q$8</f>
        <v>Ex: Other Type 1</v>
      </c>
      <c r="S5" s="407" t="str">
        <f>'Productive Hours'!$Q$9</f>
        <v>Ex: Other Type 2</v>
      </c>
      <c r="T5" s="431" t="s">
        <v>25</v>
      </c>
      <c r="V5" s="407" t="str">
        <f>'Productive Hours'!$Q$4</f>
        <v>Ex: Per Acre</v>
      </c>
      <c r="W5" s="407" t="str">
        <f>'Productive Hours'!$Q$5</f>
        <v>Ex: Ground Prep Acre</v>
      </c>
      <c r="X5" s="407" t="str">
        <f>'Productive Hours'!$Q$6</f>
        <v>Ex: Direct Research</v>
      </c>
      <c r="Y5" s="407" t="str">
        <f>'Productive Hours'!$Q$7</f>
        <v>Ex: Other Type</v>
      </c>
      <c r="Z5" s="407" t="str">
        <f>'Productive Hours'!$Q$8</f>
        <v>Ex: Other Type 1</v>
      </c>
      <c r="AA5" s="407" t="str">
        <f>'Productive Hours'!$Q$9</f>
        <v>Ex: Other Type 2</v>
      </c>
      <c r="AC5" s="407" t="str">
        <f>'Productive Hours'!$Q$4</f>
        <v>Ex: Per Acre</v>
      </c>
      <c r="AD5" s="407" t="str">
        <f>'Productive Hours'!$Q$5</f>
        <v>Ex: Ground Prep Acre</v>
      </c>
      <c r="AE5" s="407" t="str">
        <f>'Productive Hours'!$Q$6</f>
        <v>Ex: Direct Research</v>
      </c>
      <c r="AF5" s="407" t="str">
        <f>'Productive Hours'!$Q$7</f>
        <v>Ex: Other Type</v>
      </c>
      <c r="AG5" s="407" t="str">
        <f>'Productive Hours'!$Q$8</f>
        <v>Ex: Other Type 1</v>
      </c>
      <c r="AH5" s="407" t="str">
        <f>'Productive Hours'!$Q$9</f>
        <v>Ex: Other Type 2</v>
      </c>
      <c r="AI5" s="435" t="s">
        <v>25</v>
      </c>
      <c r="AK5" s="506"/>
      <c r="AL5" s="506"/>
      <c r="AM5" s="506"/>
      <c r="AN5" s="506"/>
      <c r="AO5" s="506"/>
      <c r="AP5" s="506"/>
      <c r="AQ5" s="506"/>
      <c r="AR5" s="506"/>
      <c r="AS5" s="506"/>
      <c r="AT5" s="506"/>
      <c r="AU5" s="506"/>
      <c r="AV5" s="506"/>
      <c r="AW5" s="506"/>
      <c r="AX5" s="506"/>
      <c r="AY5" s="506"/>
      <c r="AZ5" s="506"/>
      <c r="BA5" s="506"/>
      <c r="BB5" s="506"/>
      <c r="BC5" s="506"/>
      <c r="BD5" s="506"/>
      <c r="BE5" s="506"/>
    </row>
    <row r="6" spans="1:88" s="437" customFormat="1" ht="18.600000000000001" customHeight="1">
      <c r="A6" s="523"/>
      <c r="B6" s="606"/>
      <c r="C6" s="525"/>
      <c r="D6" s="526"/>
      <c r="E6" s="527"/>
      <c r="F6" s="528"/>
      <c r="G6" s="529"/>
      <c r="H6" s="530"/>
      <c r="I6" s="530"/>
      <c r="J6" s="530"/>
      <c r="K6" s="530"/>
      <c r="L6" s="530"/>
      <c r="M6" s="436"/>
      <c r="N6" s="609">
        <f t="shared" ref="N6:N37" si="0">+G6*Rate1</f>
        <v>0</v>
      </c>
      <c r="O6" s="609">
        <f t="shared" ref="O6:O37" si="1">+H6*Rate2</f>
        <v>0</v>
      </c>
      <c r="P6" s="609">
        <f t="shared" ref="P6:P37" si="2">+I6*Rate3</f>
        <v>0</v>
      </c>
      <c r="Q6" s="609">
        <f t="shared" ref="Q6:Q37" si="3">+J6*Rate4</f>
        <v>0</v>
      </c>
      <c r="R6" s="609">
        <f t="shared" ref="R6:R37" si="4">+K6*Rate5</f>
        <v>0</v>
      </c>
      <c r="S6" s="609">
        <f t="shared" ref="S6:S37" si="5">+L6*Rate6</f>
        <v>0</v>
      </c>
      <c r="T6" s="345">
        <f>SUM(N6:S6)</f>
        <v>0</v>
      </c>
      <c r="U6"/>
      <c r="V6" s="611"/>
      <c r="W6" s="611"/>
      <c r="X6" s="611"/>
      <c r="Y6" s="611"/>
      <c r="Z6" s="611"/>
      <c r="AA6" s="611"/>
      <c r="AB6"/>
      <c r="AC6" s="608">
        <f>V6*N6</f>
        <v>0</v>
      </c>
      <c r="AD6" s="608">
        <f t="shared" ref="AD6:AH21" si="6">W6*O6</f>
        <v>0</v>
      </c>
      <c r="AE6" s="608">
        <f t="shared" si="6"/>
        <v>0</v>
      </c>
      <c r="AF6" s="608">
        <f t="shared" si="6"/>
        <v>0</v>
      </c>
      <c r="AG6" s="608">
        <f t="shared" si="6"/>
        <v>0</v>
      </c>
      <c r="AH6" s="608">
        <f t="shared" si="6"/>
        <v>0</v>
      </c>
      <c r="AI6" s="345">
        <f>SUM(AC6:AH6)</f>
        <v>0</v>
      </c>
      <c r="AJ6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</row>
    <row r="7" spans="1:88" s="437" customFormat="1" ht="18.600000000000001" customHeight="1">
      <c r="A7" s="531"/>
      <c r="B7" s="606"/>
      <c r="C7" s="532"/>
      <c r="D7" s="526"/>
      <c r="E7" s="409"/>
      <c r="F7" s="531"/>
      <c r="G7" s="529"/>
      <c r="H7" s="529"/>
      <c r="I7" s="529"/>
      <c r="J7" s="529"/>
      <c r="K7" s="529"/>
      <c r="L7" s="529"/>
      <c r="M7" s="438"/>
      <c r="N7" s="609">
        <f t="shared" si="0"/>
        <v>0</v>
      </c>
      <c r="O7" s="609">
        <f t="shared" si="1"/>
        <v>0</v>
      </c>
      <c r="P7" s="609">
        <f t="shared" si="2"/>
        <v>0</v>
      </c>
      <c r="Q7" s="609">
        <f t="shared" si="3"/>
        <v>0</v>
      </c>
      <c r="R7" s="609">
        <f t="shared" si="4"/>
        <v>0</v>
      </c>
      <c r="S7" s="609">
        <f t="shared" si="5"/>
        <v>0</v>
      </c>
      <c r="T7" s="345">
        <f t="shared" ref="T7:T37" si="7">SUM(N7:S7)</f>
        <v>0</v>
      </c>
      <c r="U7"/>
      <c r="V7" s="611"/>
      <c r="W7" s="611"/>
      <c r="X7" s="611"/>
      <c r="Y7" s="611"/>
      <c r="Z7" s="611"/>
      <c r="AA7" s="611"/>
      <c r="AB7"/>
      <c r="AC7" s="608">
        <f t="shared" ref="AC7:AC37" si="8">V7*N7</f>
        <v>0</v>
      </c>
      <c r="AD7" s="608">
        <f t="shared" si="6"/>
        <v>0</v>
      </c>
      <c r="AE7" s="608">
        <f t="shared" si="6"/>
        <v>0</v>
      </c>
      <c r="AF7" s="608">
        <f t="shared" si="6"/>
        <v>0</v>
      </c>
      <c r="AG7" s="608">
        <f t="shared" si="6"/>
        <v>0</v>
      </c>
      <c r="AH7" s="608">
        <f t="shared" si="6"/>
        <v>0</v>
      </c>
      <c r="AI7" s="345">
        <f t="shared" ref="AI7:AI37" si="9">SUM(AC7:AH7)</f>
        <v>0</v>
      </c>
      <c r="AJ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</row>
    <row r="8" spans="1:88" s="437" customFormat="1" ht="18.600000000000001" customHeight="1">
      <c r="A8" s="533"/>
      <c r="B8" s="606"/>
      <c r="C8" s="534"/>
      <c r="D8" s="526"/>
      <c r="E8" s="409"/>
      <c r="F8" s="531"/>
      <c r="G8" s="529"/>
      <c r="H8" s="529"/>
      <c r="I8" s="529"/>
      <c r="J8" s="529"/>
      <c r="K8" s="529"/>
      <c r="L8" s="529"/>
      <c r="M8" s="438"/>
      <c r="N8" s="609">
        <f t="shared" si="0"/>
        <v>0</v>
      </c>
      <c r="O8" s="609">
        <f t="shared" si="1"/>
        <v>0</v>
      </c>
      <c r="P8" s="609">
        <f t="shared" si="2"/>
        <v>0</v>
      </c>
      <c r="Q8" s="609">
        <f t="shared" si="3"/>
        <v>0</v>
      </c>
      <c r="R8" s="609">
        <f t="shared" si="4"/>
        <v>0</v>
      </c>
      <c r="S8" s="609">
        <f t="shared" si="5"/>
        <v>0</v>
      </c>
      <c r="T8" s="345">
        <f t="shared" si="7"/>
        <v>0</v>
      </c>
      <c r="U8"/>
      <c r="V8" s="611"/>
      <c r="W8" s="611"/>
      <c r="X8" s="611"/>
      <c r="Y8" s="611"/>
      <c r="Z8" s="611"/>
      <c r="AA8" s="611"/>
      <c r="AB8"/>
      <c r="AC8" s="608">
        <f t="shared" si="8"/>
        <v>0</v>
      </c>
      <c r="AD8" s="608">
        <f t="shared" si="6"/>
        <v>0</v>
      </c>
      <c r="AE8" s="608">
        <f t="shared" si="6"/>
        <v>0</v>
      </c>
      <c r="AF8" s="608">
        <f t="shared" si="6"/>
        <v>0</v>
      </c>
      <c r="AG8" s="608">
        <f t="shared" si="6"/>
        <v>0</v>
      </c>
      <c r="AH8" s="608">
        <f t="shared" si="6"/>
        <v>0</v>
      </c>
      <c r="AI8" s="345">
        <f t="shared" si="9"/>
        <v>0</v>
      </c>
      <c r="AJ8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</row>
    <row r="9" spans="1:88" s="437" customFormat="1" ht="18.600000000000001" customHeight="1">
      <c r="A9" s="533"/>
      <c r="B9" s="606"/>
      <c r="C9" s="534"/>
      <c r="D9" s="535"/>
      <c r="E9" s="607"/>
      <c r="F9" s="537"/>
      <c r="G9" s="529"/>
      <c r="H9" s="529"/>
      <c r="I9" s="529"/>
      <c r="J9" s="529"/>
      <c r="K9" s="529"/>
      <c r="L9" s="529"/>
      <c r="M9" s="438"/>
      <c r="N9" s="609">
        <f t="shared" si="0"/>
        <v>0</v>
      </c>
      <c r="O9" s="609">
        <f t="shared" si="1"/>
        <v>0</v>
      </c>
      <c r="P9" s="609">
        <f t="shared" si="2"/>
        <v>0</v>
      </c>
      <c r="Q9" s="609">
        <f t="shared" si="3"/>
        <v>0</v>
      </c>
      <c r="R9" s="609">
        <f t="shared" si="4"/>
        <v>0</v>
      </c>
      <c r="S9" s="609">
        <f t="shared" si="5"/>
        <v>0</v>
      </c>
      <c r="T9" s="345">
        <f t="shared" si="7"/>
        <v>0</v>
      </c>
      <c r="U9"/>
      <c r="V9" s="611"/>
      <c r="W9" s="611"/>
      <c r="X9" s="611"/>
      <c r="Y9" s="611"/>
      <c r="Z9" s="611"/>
      <c r="AA9" s="611"/>
      <c r="AB9"/>
      <c r="AC9" s="608">
        <f t="shared" si="8"/>
        <v>0</v>
      </c>
      <c r="AD9" s="608">
        <f t="shared" si="6"/>
        <v>0</v>
      </c>
      <c r="AE9" s="608">
        <f t="shared" si="6"/>
        <v>0</v>
      </c>
      <c r="AF9" s="608">
        <f t="shared" si="6"/>
        <v>0</v>
      </c>
      <c r="AG9" s="608">
        <f t="shared" si="6"/>
        <v>0</v>
      </c>
      <c r="AH9" s="608">
        <f t="shared" si="6"/>
        <v>0</v>
      </c>
      <c r="AI9" s="345">
        <f t="shared" si="9"/>
        <v>0</v>
      </c>
      <c r="AJ9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</row>
    <row r="10" spans="1:88" s="437" customFormat="1" ht="18.600000000000001" customHeight="1">
      <c r="A10" s="533"/>
      <c r="B10" s="606"/>
      <c r="C10" s="532"/>
      <c r="D10" s="526"/>
      <c r="E10" s="409"/>
      <c r="F10" s="606"/>
      <c r="G10" s="529"/>
      <c r="H10" s="538"/>
      <c r="I10" s="538"/>
      <c r="J10" s="538"/>
      <c r="K10" s="538"/>
      <c r="L10" s="538"/>
      <c r="M10" s="439"/>
      <c r="N10" s="609">
        <f t="shared" si="0"/>
        <v>0</v>
      </c>
      <c r="O10" s="609">
        <f t="shared" si="1"/>
        <v>0</v>
      </c>
      <c r="P10" s="609">
        <f t="shared" si="2"/>
        <v>0</v>
      </c>
      <c r="Q10" s="609">
        <f t="shared" si="3"/>
        <v>0</v>
      </c>
      <c r="R10" s="609">
        <f t="shared" si="4"/>
        <v>0</v>
      </c>
      <c r="S10" s="609">
        <f t="shared" si="5"/>
        <v>0</v>
      </c>
      <c r="T10" s="345">
        <f t="shared" si="7"/>
        <v>0</v>
      </c>
      <c r="U10"/>
      <c r="V10" s="611"/>
      <c r="W10" s="611"/>
      <c r="X10" s="611"/>
      <c r="Y10" s="611"/>
      <c r="Z10" s="611"/>
      <c r="AA10" s="611"/>
      <c r="AB10"/>
      <c r="AC10" s="608">
        <f t="shared" si="8"/>
        <v>0</v>
      </c>
      <c r="AD10" s="608">
        <f t="shared" si="6"/>
        <v>0</v>
      </c>
      <c r="AE10" s="608">
        <f t="shared" si="6"/>
        <v>0</v>
      </c>
      <c r="AF10" s="608">
        <f t="shared" si="6"/>
        <v>0</v>
      </c>
      <c r="AG10" s="608">
        <f t="shared" si="6"/>
        <v>0</v>
      </c>
      <c r="AH10" s="608">
        <f t="shared" si="6"/>
        <v>0</v>
      </c>
      <c r="AI10" s="345">
        <f t="shared" si="9"/>
        <v>0</v>
      </c>
      <c r="AJ10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</row>
    <row r="11" spans="1:88" ht="18.600000000000001" customHeight="1" outlineLevel="1">
      <c r="A11" s="533"/>
      <c r="B11" s="606"/>
      <c r="C11" s="532"/>
      <c r="D11" s="535"/>
      <c r="E11" s="607"/>
      <c r="F11" s="606"/>
      <c r="G11" s="529"/>
      <c r="H11" s="529"/>
      <c r="I11" s="529"/>
      <c r="J11" s="529"/>
      <c r="K11" s="529"/>
      <c r="L11" s="529"/>
      <c r="M11" s="440"/>
      <c r="N11" s="609">
        <f t="shared" si="0"/>
        <v>0</v>
      </c>
      <c r="O11" s="609">
        <f t="shared" si="1"/>
        <v>0</v>
      </c>
      <c r="P11" s="609">
        <f t="shared" si="2"/>
        <v>0</v>
      </c>
      <c r="Q11" s="609">
        <f t="shared" si="3"/>
        <v>0</v>
      </c>
      <c r="R11" s="609">
        <f t="shared" si="4"/>
        <v>0</v>
      </c>
      <c r="S11" s="609">
        <f t="shared" si="5"/>
        <v>0</v>
      </c>
      <c r="T11" s="345">
        <f t="shared" si="7"/>
        <v>0</v>
      </c>
      <c r="V11" s="611"/>
      <c r="W11" s="611"/>
      <c r="X11" s="611"/>
      <c r="Y11" s="611"/>
      <c r="Z11" s="611"/>
      <c r="AA11" s="611"/>
      <c r="AC11" s="608">
        <f t="shared" si="8"/>
        <v>0</v>
      </c>
      <c r="AD11" s="608">
        <f t="shared" si="6"/>
        <v>0</v>
      </c>
      <c r="AE11" s="608">
        <f t="shared" si="6"/>
        <v>0</v>
      </c>
      <c r="AF11" s="608">
        <f t="shared" si="6"/>
        <v>0</v>
      </c>
      <c r="AG11" s="608">
        <f t="shared" si="6"/>
        <v>0</v>
      </c>
      <c r="AH11" s="608">
        <f t="shared" si="6"/>
        <v>0</v>
      </c>
      <c r="AI11" s="345">
        <f t="shared" si="9"/>
        <v>0</v>
      </c>
    </row>
    <row r="12" spans="1:88" s="437" customFormat="1" ht="18.600000000000001" customHeight="1" outlineLevel="1">
      <c r="A12" s="533"/>
      <c r="B12" s="606"/>
      <c r="C12" s="532"/>
      <c r="D12" s="526"/>
      <c r="E12" s="409"/>
      <c r="F12" s="606"/>
      <c r="G12" s="529"/>
      <c r="H12" s="529"/>
      <c r="I12" s="529"/>
      <c r="J12" s="529"/>
      <c r="K12" s="529"/>
      <c r="L12" s="529"/>
      <c r="M12" s="438"/>
      <c r="N12" s="609">
        <f t="shared" si="0"/>
        <v>0</v>
      </c>
      <c r="O12" s="609">
        <f t="shared" si="1"/>
        <v>0</v>
      </c>
      <c r="P12" s="609">
        <f t="shared" si="2"/>
        <v>0</v>
      </c>
      <c r="Q12" s="609">
        <f t="shared" si="3"/>
        <v>0</v>
      </c>
      <c r="R12" s="609">
        <f t="shared" si="4"/>
        <v>0</v>
      </c>
      <c r="S12" s="609">
        <f t="shared" si="5"/>
        <v>0</v>
      </c>
      <c r="T12" s="345">
        <f t="shared" si="7"/>
        <v>0</v>
      </c>
      <c r="U12"/>
      <c r="V12" s="611"/>
      <c r="W12" s="611"/>
      <c r="X12" s="611"/>
      <c r="Y12" s="611"/>
      <c r="Z12" s="611"/>
      <c r="AA12" s="611"/>
      <c r="AB12"/>
      <c r="AC12" s="608">
        <f t="shared" si="8"/>
        <v>0</v>
      </c>
      <c r="AD12" s="608">
        <f t="shared" si="6"/>
        <v>0</v>
      </c>
      <c r="AE12" s="608">
        <f t="shared" si="6"/>
        <v>0</v>
      </c>
      <c r="AF12" s="608">
        <f t="shared" si="6"/>
        <v>0</v>
      </c>
      <c r="AG12" s="608">
        <f t="shared" si="6"/>
        <v>0</v>
      </c>
      <c r="AH12" s="608">
        <f t="shared" si="6"/>
        <v>0</v>
      </c>
      <c r="AI12" s="345">
        <f t="shared" si="9"/>
        <v>0</v>
      </c>
      <c r="AJ12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</row>
    <row r="13" spans="1:88" ht="18.600000000000001" customHeight="1" outlineLevel="1">
      <c r="A13" s="533"/>
      <c r="B13" s="606"/>
      <c r="C13" s="534"/>
      <c r="D13" s="526"/>
      <c r="E13" s="409"/>
      <c r="F13" s="531"/>
      <c r="G13" s="529"/>
      <c r="H13" s="529"/>
      <c r="I13" s="529"/>
      <c r="J13" s="529"/>
      <c r="K13" s="529"/>
      <c r="L13" s="529"/>
      <c r="M13" s="438"/>
      <c r="N13" s="609">
        <f t="shared" si="0"/>
        <v>0</v>
      </c>
      <c r="O13" s="609">
        <f t="shared" si="1"/>
        <v>0</v>
      </c>
      <c r="P13" s="609">
        <f t="shared" si="2"/>
        <v>0</v>
      </c>
      <c r="Q13" s="609">
        <f t="shared" si="3"/>
        <v>0</v>
      </c>
      <c r="R13" s="609">
        <f t="shared" si="4"/>
        <v>0</v>
      </c>
      <c r="S13" s="609">
        <f t="shared" si="5"/>
        <v>0</v>
      </c>
      <c r="T13" s="345">
        <f t="shared" si="7"/>
        <v>0</v>
      </c>
      <c r="V13" s="611"/>
      <c r="W13" s="611"/>
      <c r="X13" s="611"/>
      <c r="Y13" s="611"/>
      <c r="Z13" s="611"/>
      <c r="AA13" s="611"/>
      <c r="AC13" s="608">
        <f t="shared" si="8"/>
        <v>0</v>
      </c>
      <c r="AD13" s="608">
        <f t="shared" si="6"/>
        <v>0</v>
      </c>
      <c r="AE13" s="608">
        <f t="shared" si="6"/>
        <v>0</v>
      </c>
      <c r="AF13" s="608">
        <f t="shared" si="6"/>
        <v>0</v>
      </c>
      <c r="AG13" s="608">
        <f t="shared" si="6"/>
        <v>0</v>
      </c>
      <c r="AH13" s="608">
        <f t="shared" si="6"/>
        <v>0</v>
      </c>
      <c r="AI13" s="345">
        <f t="shared" si="9"/>
        <v>0</v>
      </c>
    </row>
    <row r="14" spans="1:88" s="437" customFormat="1" ht="18.600000000000001" customHeight="1" outlineLevel="1">
      <c r="A14" s="533"/>
      <c r="B14" s="606"/>
      <c r="C14" s="525"/>
      <c r="D14" s="526"/>
      <c r="E14" s="409"/>
      <c r="F14" s="531"/>
      <c r="G14" s="529"/>
      <c r="H14" s="529"/>
      <c r="I14" s="529"/>
      <c r="J14" s="529"/>
      <c r="K14" s="529"/>
      <c r="L14" s="529"/>
      <c r="M14" s="441"/>
      <c r="N14" s="609">
        <f t="shared" si="0"/>
        <v>0</v>
      </c>
      <c r="O14" s="609">
        <f t="shared" si="1"/>
        <v>0</v>
      </c>
      <c r="P14" s="609">
        <f t="shared" si="2"/>
        <v>0</v>
      </c>
      <c r="Q14" s="609">
        <f t="shared" si="3"/>
        <v>0</v>
      </c>
      <c r="R14" s="609">
        <f t="shared" si="4"/>
        <v>0</v>
      </c>
      <c r="S14" s="609">
        <f t="shared" si="5"/>
        <v>0</v>
      </c>
      <c r="T14" s="345">
        <f t="shared" si="7"/>
        <v>0</v>
      </c>
      <c r="U14"/>
      <c r="V14" s="611"/>
      <c r="W14" s="611"/>
      <c r="X14" s="611"/>
      <c r="Y14" s="611"/>
      <c r="Z14" s="611"/>
      <c r="AA14" s="611"/>
      <c r="AB14"/>
      <c r="AC14" s="608">
        <f t="shared" si="8"/>
        <v>0</v>
      </c>
      <c r="AD14" s="608">
        <f t="shared" si="6"/>
        <v>0</v>
      </c>
      <c r="AE14" s="608">
        <f t="shared" si="6"/>
        <v>0</v>
      </c>
      <c r="AF14" s="608">
        <f t="shared" si="6"/>
        <v>0</v>
      </c>
      <c r="AG14" s="608">
        <f t="shared" si="6"/>
        <v>0</v>
      </c>
      <c r="AH14" s="608">
        <f t="shared" si="6"/>
        <v>0</v>
      </c>
      <c r="AI14" s="345">
        <f t="shared" si="9"/>
        <v>0</v>
      </c>
      <c r="AJ14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</row>
    <row r="15" spans="1:88" s="437" customFormat="1" ht="18.600000000000001" customHeight="1" outlineLevel="1">
      <c r="A15" s="533"/>
      <c r="B15" s="524"/>
      <c r="C15" s="525"/>
      <c r="D15" s="526"/>
      <c r="E15" s="539"/>
      <c r="F15" s="531"/>
      <c r="G15" s="529"/>
      <c r="H15" s="529"/>
      <c r="I15" s="529"/>
      <c r="J15" s="529"/>
      <c r="K15" s="529"/>
      <c r="L15" s="529"/>
      <c r="M15" s="441"/>
      <c r="N15" s="609">
        <f t="shared" si="0"/>
        <v>0</v>
      </c>
      <c r="O15" s="609">
        <f t="shared" si="1"/>
        <v>0</v>
      </c>
      <c r="P15" s="609">
        <f t="shared" si="2"/>
        <v>0</v>
      </c>
      <c r="Q15" s="609">
        <f t="shared" si="3"/>
        <v>0</v>
      </c>
      <c r="R15" s="609">
        <f t="shared" si="4"/>
        <v>0</v>
      </c>
      <c r="S15" s="609">
        <f t="shared" si="5"/>
        <v>0</v>
      </c>
      <c r="T15" s="345">
        <f t="shared" si="7"/>
        <v>0</v>
      </c>
      <c r="U15"/>
      <c r="V15" s="611"/>
      <c r="W15" s="611"/>
      <c r="X15" s="611"/>
      <c r="Y15" s="611"/>
      <c r="Z15" s="611"/>
      <c r="AA15" s="611"/>
      <c r="AB15"/>
      <c r="AC15" s="608">
        <f t="shared" si="8"/>
        <v>0</v>
      </c>
      <c r="AD15" s="608">
        <f t="shared" si="6"/>
        <v>0</v>
      </c>
      <c r="AE15" s="608">
        <f t="shared" si="6"/>
        <v>0</v>
      </c>
      <c r="AF15" s="608">
        <f t="shared" si="6"/>
        <v>0</v>
      </c>
      <c r="AG15" s="608">
        <f t="shared" si="6"/>
        <v>0</v>
      </c>
      <c r="AH15" s="608">
        <f t="shared" si="6"/>
        <v>0</v>
      </c>
      <c r="AI15" s="345">
        <f t="shared" si="9"/>
        <v>0</v>
      </c>
      <c r="AJ15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</row>
    <row r="16" spans="1:88" s="437" customFormat="1" ht="18.600000000000001" customHeight="1" outlineLevel="1">
      <c r="A16" s="533"/>
      <c r="B16" s="524"/>
      <c r="C16" s="525"/>
      <c r="D16" s="526"/>
      <c r="E16" s="409"/>
      <c r="F16" s="531"/>
      <c r="G16" s="529"/>
      <c r="H16" s="529"/>
      <c r="I16" s="529"/>
      <c r="J16" s="529"/>
      <c r="K16" s="529"/>
      <c r="L16" s="529"/>
      <c r="M16" s="441"/>
      <c r="N16" s="609">
        <f t="shared" si="0"/>
        <v>0</v>
      </c>
      <c r="O16" s="609">
        <f t="shared" si="1"/>
        <v>0</v>
      </c>
      <c r="P16" s="609">
        <f t="shared" si="2"/>
        <v>0</v>
      </c>
      <c r="Q16" s="609">
        <f t="shared" si="3"/>
        <v>0</v>
      </c>
      <c r="R16" s="609">
        <f t="shared" si="4"/>
        <v>0</v>
      </c>
      <c r="S16" s="609">
        <f t="shared" si="5"/>
        <v>0</v>
      </c>
      <c r="T16" s="345">
        <f t="shared" si="7"/>
        <v>0</v>
      </c>
      <c r="U16"/>
      <c r="V16" s="611"/>
      <c r="W16" s="611"/>
      <c r="X16" s="611"/>
      <c r="Y16" s="611"/>
      <c r="Z16" s="611"/>
      <c r="AA16" s="611"/>
      <c r="AB16"/>
      <c r="AC16" s="608">
        <f t="shared" si="8"/>
        <v>0</v>
      </c>
      <c r="AD16" s="608">
        <f t="shared" si="6"/>
        <v>0</v>
      </c>
      <c r="AE16" s="608">
        <f t="shared" si="6"/>
        <v>0</v>
      </c>
      <c r="AF16" s="608">
        <f t="shared" si="6"/>
        <v>0</v>
      </c>
      <c r="AG16" s="608">
        <f t="shared" si="6"/>
        <v>0</v>
      </c>
      <c r="AH16" s="608">
        <f t="shared" si="6"/>
        <v>0</v>
      </c>
      <c r="AI16" s="345">
        <f t="shared" si="9"/>
        <v>0</v>
      </c>
      <c r="AJ16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</row>
    <row r="17" spans="1:88" s="437" customFormat="1" ht="18.600000000000001" customHeight="1" outlineLevel="1">
      <c r="A17" s="533"/>
      <c r="B17" s="524"/>
      <c r="C17" s="525"/>
      <c r="D17" s="526"/>
      <c r="E17" s="409"/>
      <c r="F17" s="531"/>
      <c r="G17" s="529"/>
      <c r="H17" s="529"/>
      <c r="I17" s="529"/>
      <c r="J17" s="529"/>
      <c r="K17" s="529"/>
      <c r="L17" s="529"/>
      <c r="M17" s="441"/>
      <c r="N17" s="609">
        <f t="shared" si="0"/>
        <v>0</v>
      </c>
      <c r="O17" s="609">
        <f t="shared" si="1"/>
        <v>0</v>
      </c>
      <c r="P17" s="609">
        <f t="shared" si="2"/>
        <v>0</v>
      </c>
      <c r="Q17" s="609">
        <f t="shared" si="3"/>
        <v>0</v>
      </c>
      <c r="R17" s="609">
        <f t="shared" si="4"/>
        <v>0</v>
      </c>
      <c r="S17" s="609">
        <f t="shared" si="5"/>
        <v>0</v>
      </c>
      <c r="T17" s="345">
        <f t="shared" si="7"/>
        <v>0</v>
      </c>
      <c r="U17"/>
      <c r="V17" s="611"/>
      <c r="W17" s="611"/>
      <c r="X17" s="611"/>
      <c r="Y17" s="611"/>
      <c r="Z17" s="611"/>
      <c r="AA17" s="611"/>
      <c r="AB17"/>
      <c r="AC17" s="608">
        <f t="shared" si="8"/>
        <v>0</v>
      </c>
      <c r="AD17" s="608">
        <f t="shared" si="6"/>
        <v>0</v>
      </c>
      <c r="AE17" s="608">
        <f t="shared" si="6"/>
        <v>0</v>
      </c>
      <c r="AF17" s="608">
        <f t="shared" si="6"/>
        <v>0</v>
      </c>
      <c r="AG17" s="608">
        <f t="shared" si="6"/>
        <v>0</v>
      </c>
      <c r="AH17" s="608">
        <f t="shared" si="6"/>
        <v>0</v>
      </c>
      <c r="AI17" s="345">
        <f t="shared" si="9"/>
        <v>0</v>
      </c>
      <c r="AJ1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</row>
    <row r="18" spans="1:88" s="437" customFormat="1" ht="18.600000000000001" customHeight="1" outlineLevel="1">
      <c r="A18" s="533"/>
      <c r="B18" s="524"/>
      <c r="C18" s="532"/>
      <c r="D18" s="540"/>
      <c r="E18" s="541"/>
      <c r="F18" s="531"/>
      <c r="G18" s="529"/>
      <c r="H18" s="529"/>
      <c r="I18" s="529"/>
      <c r="J18" s="529"/>
      <c r="K18" s="529"/>
      <c r="L18" s="529"/>
      <c r="M18" s="441"/>
      <c r="N18" s="609">
        <f t="shared" si="0"/>
        <v>0</v>
      </c>
      <c r="O18" s="609">
        <f t="shared" si="1"/>
        <v>0</v>
      </c>
      <c r="P18" s="609">
        <f t="shared" si="2"/>
        <v>0</v>
      </c>
      <c r="Q18" s="609">
        <f t="shared" si="3"/>
        <v>0</v>
      </c>
      <c r="R18" s="609">
        <f t="shared" si="4"/>
        <v>0</v>
      </c>
      <c r="S18" s="609">
        <f t="shared" si="5"/>
        <v>0</v>
      </c>
      <c r="T18" s="345">
        <f t="shared" si="7"/>
        <v>0</v>
      </c>
      <c r="U18"/>
      <c r="V18" s="611"/>
      <c r="W18" s="611"/>
      <c r="X18" s="611"/>
      <c r="Y18" s="611"/>
      <c r="Z18" s="611"/>
      <c r="AA18" s="611"/>
      <c r="AB18"/>
      <c r="AC18" s="608">
        <f t="shared" si="8"/>
        <v>0</v>
      </c>
      <c r="AD18" s="608">
        <f t="shared" si="6"/>
        <v>0</v>
      </c>
      <c r="AE18" s="608">
        <f t="shared" si="6"/>
        <v>0</v>
      </c>
      <c r="AF18" s="608">
        <f t="shared" si="6"/>
        <v>0</v>
      </c>
      <c r="AG18" s="608">
        <f t="shared" si="6"/>
        <v>0</v>
      </c>
      <c r="AH18" s="608">
        <f t="shared" si="6"/>
        <v>0</v>
      </c>
      <c r="AI18" s="345">
        <f t="shared" si="9"/>
        <v>0</v>
      </c>
      <c r="AJ18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</row>
    <row r="19" spans="1:88" s="437" customFormat="1" ht="18.600000000000001" customHeight="1" outlineLevel="1">
      <c r="A19" s="533"/>
      <c r="B19" s="524"/>
      <c r="C19" s="532"/>
      <c r="D19" s="526"/>
      <c r="E19" s="409"/>
      <c r="F19" s="531"/>
      <c r="G19" s="529"/>
      <c r="H19" s="529"/>
      <c r="I19" s="529"/>
      <c r="J19" s="529"/>
      <c r="K19" s="529"/>
      <c r="L19" s="529"/>
      <c r="M19" s="441"/>
      <c r="N19" s="609">
        <f t="shared" si="0"/>
        <v>0</v>
      </c>
      <c r="O19" s="609">
        <f t="shared" si="1"/>
        <v>0</v>
      </c>
      <c r="P19" s="609">
        <f t="shared" si="2"/>
        <v>0</v>
      </c>
      <c r="Q19" s="609">
        <f t="shared" si="3"/>
        <v>0</v>
      </c>
      <c r="R19" s="609">
        <f t="shared" si="4"/>
        <v>0</v>
      </c>
      <c r="S19" s="609">
        <f t="shared" si="5"/>
        <v>0</v>
      </c>
      <c r="T19" s="345">
        <f t="shared" si="7"/>
        <v>0</v>
      </c>
      <c r="U19"/>
      <c r="V19" s="611"/>
      <c r="W19" s="611"/>
      <c r="X19" s="611"/>
      <c r="Y19" s="611"/>
      <c r="Z19" s="611"/>
      <c r="AA19" s="611"/>
      <c r="AB19"/>
      <c r="AC19" s="608">
        <f t="shared" si="8"/>
        <v>0</v>
      </c>
      <c r="AD19" s="608">
        <f t="shared" si="6"/>
        <v>0</v>
      </c>
      <c r="AE19" s="608">
        <f t="shared" si="6"/>
        <v>0</v>
      </c>
      <c r="AF19" s="608">
        <f t="shared" si="6"/>
        <v>0</v>
      </c>
      <c r="AG19" s="608">
        <f t="shared" si="6"/>
        <v>0</v>
      </c>
      <c r="AH19" s="608">
        <f t="shared" si="6"/>
        <v>0</v>
      </c>
      <c r="AI19" s="345">
        <f t="shared" si="9"/>
        <v>0</v>
      </c>
      <c r="AJ19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</row>
    <row r="20" spans="1:88" s="437" customFormat="1" ht="18.600000000000001" customHeight="1" outlineLevel="1">
      <c r="A20" s="533"/>
      <c r="B20" s="524"/>
      <c r="C20" s="525"/>
      <c r="D20" s="526"/>
      <c r="E20" s="539"/>
      <c r="F20" s="531"/>
      <c r="G20" s="529"/>
      <c r="H20" s="529"/>
      <c r="I20" s="529"/>
      <c r="J20" s="529"/>
      <c r="K20" s="529"/>
      <c r="L20" s="529"/>
      <c r="M20" s="441"/>
      <c r="N20" s="609">
        <f t="shared" si="0"/>
        <v>0</v>
      </c>
      <c r="O20" s="609">
        <f t="shared" si="1"/>
        <v>0</v>
      </c>
      <c r="P20" s="609">
        <f t="shared" si="2"/>
        <v>0</v>
      </c>
      <c r="Q20" s="609">
        <f t="shared" si="3"/>
        <v>0</v>
      </c>
      <c r="R20" s="609">
        <f t="shared" si="4"/>
        <v>0</v>
      </c>
      <c r="S20" s="609">
        <f t="shared" si="5"/>
        <v>0</v>
      </c>
      <c r="T20" s="345">
        <f t="shared" si="7"/>
        <v>0</v>
      </c>
      <c r="U20"/>
      <c r="V20" s="611"/>
      <c r="W20" s="611"/>
      <c r="X20" s="611"/>
      <c r="Y20" s="611"/>
      <c r="Z20" s="611"/>
      <c r="AA20" s="611"/>
      <c r="AB20"/>
      <c r="AC20" s="608">
        <f t="shared" si="8"/>
        <v>0</v>
      </c>
      <c r="AD20" s="608">
        <f t="shared" si="6"/>
        <v>0</v>
      </c>
      <c r="AE20" s="608">
        <f t="shared" si="6"/>
        <v>0</v>
      </c>
      <c r="AF20" s="608">
        <f t="shared" si="6"/>
        <v>0</v>
      </c>
      <c r="AG20" s="608">
        <f t="shared" si="6"/>
        <v>0</v>
      </c>
      <c r="AH20" s="608">
        <f t="shared" si="6"/>
        <v>0</v>
      </c>
      <c r="AI20" s="345">
        <f t="shared" si="9"/>
        <v>0</v>
      </c>
      <c r="AJ20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</row>
    <row r="21" spans="1:88" s="437" customFormat="1" ht="18.600000000000001" customHeight="1" outlineLevel="1">
      <c r="A21" s="533"/>
      <c r="B21" s="524"/>
      <c r="C21" s="525"/>
      <c r="D21" s="542"/>
      <c r="E21" s="543"/>
      <c r="F21" s="531"/>
      <c r="G21" s="529"/>
      <c r="H21" s="529"/>
      <c r="I21" s="529"/>
      <c r="J21" s="529"/>
      <c r="K21" s="529"/>
      <c r="L21" s="529"/>
      <c r="M21" s="441"/>
      <c r="N21" s="609">
        <f t="shared" si="0"/>
        <v>0</v>
      </c>
      <c r="O21" s="609">
        <f t="shared" si="1"/>
        <v>0</v>
      </c>
      <c r="P21" s="609">
        <f t="shared" si="2"/>
        <v>0</v>
      </c>
      <c r="Q21" s="609">
        <f t="shared" si="3"/>
        <v>0</v>
      </c>
      <c r="R21" s="609">
        <f t="shared" si="4"/>
        <v>0</v>
      </c>
      <c r="S21" s="609">
        <f t="shared" si="5"/>
        <v>0</v>
      </c>
      <c r="T21" s="345">
        <f t="shared" si="7"/>
        <v>0</v>
      </c>
      <c r="U21"/>
      <c r="V21" s="611"/>
      <c r="W21" s="611"/>
      <c r="X21" s="611"/>
      <c r="Y21" s="611"/>
      <c r="Z21" s="611"/>
      <c r="AA21" s="611"/>
      <c r="AB21"/>
      <c r="AC21" s="608">
        <f t="shared" si="8"/>
        <v>0</v>
      </c>
      <c r="AD21" s="608">
        <f t="shared" si="6"/>
        <v>0</v>
      </c>
      <c r="AE21" s="608">
        <f t="shared" si="6"/>
        <v>0</v>
      </c>
      <c r="AF21" s="608">
        <f t="shared" si="6"/>
        <v>0</v>
      </c>
      <c r="AG21" s="608">
        <f t="shared" si="6"/>
        <v>0</v>
      </c>
      <c r="AH21" s="608">
        <f t="shared" si="6"/>
        <v>0</v>
      </c>
      <c r="AI21" s="345">
        <f t="shared" si="9"/>
        <v>0</v>
      </c>
      <c r="AJ21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</row>
    <row r="22" spans="1:88" s="437" customFormat="1" ht="18.600000000000001" customHeight="1" outlineLevel="1">
      <c r="A22" s="533"/>
      <c r="B22" s="524"/>
      <c r="C22" s="525"/>
      <c r="D22" s="526"/>
      <c r="E22" s="526"/>
      <c r="F22" s="531"/>
      <c r="G22" s="529"/>
      <c r="H22" s="529"/>
      <c r="I22" s="529"/>
      <c r="J22" s="529"/>
      <c r="K22" s="529"/>
      <c r="L22" s="529"/>
      <c r="M22" s="441"/>
      <c r="N22" s="609">
        <f t="shared" si="0"/>
        <v>0</v>
      </c>
      <c r="O22" s="609">
        <f t="shared" si="1"/>
        <v>0</v>
      </c>
      <c r="P22" s="609">
        <f t="shared" si="2"/>
        <v>0</v>
      </c>
      <c r="Q22" s="609">
        <f t="shared" si="3"/>
        <v>0</v>
      </c>
      <c r="R22" s="609">
        <f t="shared" si="4"/>
        <v>0</v>
      </c>
      <c r="S22" s="609">
        <f t="shared" si="5"/>
        <v>0</v>
      </c>
      <c r="T22" s="345">
        <f t="shared" si="7"/>
        <v>0</v>
      </c>
      <c r="U22"/>
      <c r="V22" s="611"/>
      <c r="W22" s="611"/>
      <c r="X22" s="611"/>
      <c r="Y22" s="611"/>
      <c r="Z22" s="611"/>
      <c r="AA22" s="611"/>
      <c r="AB22"/>
      <c r="AC22" s="608">
        <f t="shared" si="8"/>
        <v>0</v>
      </c>
      <c r="AD22" s="608">
        <f t="shared" ref="AD22:AD37" si="10">W22*O22</f>
        <v>0</v>
      </c>
      <c r="AE22" s="608">
        <f t="shared" ref="AE22:AE37" si="11">X22*P22</f>
        <v>0</v>
      </c>
      <c r="AF22" s="608">
        <f t="shared" ref="AF22:AF37" si="12">Y22*Q22</f>
        <v>0</v>
      </c>
      <c r="AG22" s="608">
        <f t="shared" ref="AG22:AG37" si="13">Z22*R22</f>
        <v>0</v>
      </c>
      <c r="AH22" s="608">
        <f t="shared" ref="AH22:AH37" si="14">AA22*S22</f>
        <v>0</v>
      </c>
      <c r="AI22" s="345">
        <f t="shared" si="9"/>
        <v>0</v>
      </c>
      <c r="AJ22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</row>
    <row r="23" spans="1:88" s="437" customFormat="1" ht="18.600000000000001" customHeight="1" outlineLevel="1">
      <c r="A23" s="533"/>
      <c r="B23" s="524"/>
      <c r="C23" s="525"/>
      <c r="D23" s="535"/>
      <c r="E23" s="536"/>
      <c r="F23" s="537"/>
      <c r="G23" s="529"/>
      <c r="H23" s="529"/>
      <c r="I23" s="529"/>
      <c r="J23" s="529"/>
      <c r="K23" s="529"/>
      <c r="L23" s="529"/>
      <c r="M23" s="441"/>
      <c r="N23" s="609">
        <f t="shared" si="0"/>
        <v>0</v>
      </c>
      <c r="O23" s="609">
        <f t="shared" si="1"/>
        <v>0</v>
      </c>
      <c r="P23" s="609">
        <f t="shared" si="2"/>
        <v>0</v>
      </c>
      <c r="Q23" s="609">
        <f t="shared" si="3"/>
        <v>0</v>
      </c>
      <c r="R23" s="609">
        <f t="shared" si="4"/>
        <v>0</v>
      </c>
      <c r="S23" s="609">
        <f t="shared" si="5"/>
        <v>0</v>
      </c>
      <c r="T23" s="345">
        <f t="shared" si="7"/>
        <v>0</v>
      </c>
      <c r="U23"/>
      <c r="V23" s="611"/>
      <c r="W23" s="611"/>
      <c r="X23" s="611"/>
      <c r="Y23" s="611"/>
      <c r="Z23" s="611"/>
      <c r="AA23" s="611"/>
      <c r="AB23"/>
      <c r="AC23" s="608">
        <f t="shared" si="8"/>
        <v>0</v>
      </c>
      <c r="AD23" s="608">
        <f t="shared" si="10"/>
        <v>0</v>
      </c>
      <c r="AE23" s="608">
        <f t="shared" si="11"/>
        <v>0</v>
      </c>
      <c r="AF23" s="608">
        <f t="shared" si="12"/>
        <v>0</v>
      </c>
      <c r="AG23" s="608">
        <f t="shared" si="13"/>
        <v>0</v>
      </c>
      <c r="AH23" s="608">
        <f t="shared" si="14"/>
        <v>0</v>
      </c>
      <c r="AI23" s="345">
        <f t="shared" si="9"/>
        <v>0</v>
      </c>
      <c r="AJ23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</row>
    <row r="24" spans="1:88" s="437" customFormat="1" ht="18.600000000000001" customHeight="1" outlineLevel="1">
      <c r="A24" s="531"/>
      <c r="B24" s="524"/>
      <c r="C24" s="525"/>
      <c r="D24" s="542"/>
      <c r="E24" s="543"/>
      <c r="F24" s="531"/>
      <c r="G24" s="529"/>
      <c r="H24" s="529"/>
      <c r="I24" s="529"/>
      <c r="J24" s="529"/>
      <c r="K24" s="529"/>
      <c r="L24" s="529"/>
      <c r="M24" s="441"/>
      <c r="N24" s="609">
        <f t="shared" si="0"/>
        <v>0</v>
      </c>
      <c r="O24" s="609">
        <f t="shared" si="1"/>
        <v>0</v>
      </c>
      <c r="P24" s="609">
        <f t="shared" si="2"/>
        <v>0</v>
      </c>
      <c r="Q24" s="609">
        <f t="shared" si="3"/>
        <v>0</v>
      </c>
      <c r="R24" s="609">
        <f t="shared" si="4"/>
        <v>0</v>
      </c>
      <c r="S24" s="609">
        <f t="shared" si="5"/>
        <v>0</v>
      </c>
      <c r="T24" s="345">
        <f t="shared" si="7"/>
        <v>0</v>
      </c>
      <c r="U24"/>
      <c r="V24" s="611"/>
      <c r="W24" s="611"/>
      <c r="X24" s="611"/>
      <c r="Y24" s="611"/>
      <c r="Z24" s="611"/>
      <c r="AA24" s="611"/>
      <c r="AB24"/>
      <c r="AC24" s="608">
        <f t="shared" si="8"/>
        <v>0</v>
      </c>
      <c r="AD24" s="608">
        <f t="shared" si="10"/>
        <v>0</v>
      </c>
      <c r="AE24" s="608">
        <f t="shared" si="11"/>
        <v>0</v>
      </c>
      <c r="AF24" s="608">
        <f t="shared" si="12"/>
        <v>0</v>
      </c>
      <c r="AG24" s="608">
        <f t="shared" si="13"/>
        <v>0</v>
      </c>
      <c r="AH24" s="608">
        <f t="shared" si="14"/>
        <v>0</v>
      </c>
      <c r="AI24" s="345">
        <f t="shared" si="9"/>
        <v>0</v>
      </c>
      <c r="AJ24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</row>
    <row r="25" spans="1:88" s="437" customFormat="1" ht="18.600000000000001" customHeight="1" outlineLevel="1">
      <c r="A25" s="533"/>
      <c r="B25" s="524"/>
      <c r="C25" s="525"/>
      <c r="D25" s="542"/>
      <c r="E25" s="544"/>
      <c r="F25" s="531"/>
      <c r="G25" s="529"/>
      <c r="H25" s="529"/>
      <c r="I25" s="529"/>
      <c r="J25" s="529"/>
      <c r="K25" s="529"/>
      <c r="L25" s="529"/>
      <c r="M25" s="441"/>
      <c r="N25" s="609">
        <f t="shared" si="0"/>
        <v>0</v>
      </c>
      <c r="O25" s="609">
        <f t="shared" si="1"/>
        <v>0</v>
      </c>
      <c r="P25" s="609">
        <f t="shared" si="2"/>
        <v>0</v>
      </c>
      <c r="Q25" s="609">
        <f t="shared" si="3"/>
        <v>0</v>
      </c>
      <c r="R25" s="609">
        <f t="shared" si="4"/>
        <v>0</v>
      </c>
      <c r="S25" s="609">
        <f t="shared" si="5"/>
        <v>0</v>
      </c>
      <c r="T25" s="345">
        <f t="shared" si="7"/>
        <v>0</v>
      </c>
      <c r="U25"/>
      <c r="V25" s="611"/>
      <c r="W25" s="611"/>
      <c r="X25" s="611"/>
      <c r="Y25" s="611"/>
      <c r="Z25" s="611"/>
      <c r="AA25" s="611"/>
      <c r="AB25"/>
      <c r="AC25" s="608">
        <f t="shared" si="8"/>
        <v>0</v>
      </c>
      <c r="AD25" s="608">
        <f t="shared" si="10"/>
        <v>0</v>
      </c>
      <c r="AE25" s="608">
        <f t="shared" si="11"/>
        <v>0</v>
      </c>
      <c r="AF25" s="608">
        <f t="shared" si="12"/>
        <v>0</v>
      </c>
      <c r="AG25" s="608">
        <f t="shared" si="13"/>
        <v>0</v>
      </c>
      <c r="AH25" s="608">
        <f t="shared" si="14"/>
        <v>0</v>
      </c>
      <c r="AI25" s="345">
        <f t="shared" si="9"/>
        <v>0</v>
      </c>
      <c r="AJ25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</row>
    <row r="26" spans="1:88" s="437" customFormat="1" ht="18.600000000000001" customHeight="1" outlineLevel="1">
      <c r="A26" s="533"/>
      <c r="B26" s="524"/>
      <c r="C26" s="525"/>
      <c r="D26" s="542"/>
      <c r="E26" s="544"/>
      <c r="F26" s="531"/>
      <c r="G26" s="529"/>
      <c r="H26" s="529"/>
      <c r="I26" s="529"/>
      <c r="J26" s="529"/>
      <c r="K26" s="529"/>
      <c r="L26" s="529"/>
      <c r="M26" s="441"/>
      <c r="N26" s="609">
        <f t="shared" si="0"/>
        <v>0</v>
      </c>
      <c r="O26" s="609">
        <f t="shared" si="1"/>
        <v>0</v>
      </c>
      <c r="P26" s="609">
        <f t="shared" si="2"/>
        <v>0</v>
      </c>
      <c r="Q26" s="609">
        <f t="shared" si="3"/>
        <v>0</v>
      </c>
      <c r="R26" s="609">
        <f t="shared" si="4"/>
        <v>0</v>
      </c>
      <c r="S26" s="609">
        <f t="shared" si="5"/>
        <v>0</v>
      </c>
      <c r="T26" s="345">
        <f t="shared" si="7"/>
        <v>0</v>
      </c>
      <c r="U26"/>
      <c r="V26" s="611"/>
      <c r="W26" s="611"/>
      <c r="X26" s="611"/>
      <c r="Y26" s="611"/>
      <c r="Z26" s="611"/>
      <c r="AA26" s="611"/>
      <c r="AB26"/>
      <c r="AC26" s="608">
        <f t="shared" si="8"/>
        <v>0</v>
      </c>
      <c r="AD26" s="608">
        <f t="shared" si="10"/>
        <v>0</v>
      </c>
      <c r="AE26" s="608">
        <f t="shared" si="11"/>
        <v>0</v>
      </c>
      <c r="AF26" s="608">
        <f t="shared" si="12"/>
        <v>0</v>
      </c>
      <c r="AG26" s="608">
        <f t="shared" si="13"/>
        <v>0</v>
      </c>
      <c r="AH26" s="608">
        <f t="shared" si="14"/>
        <v>0</v>
      </c>
      <c r="AI26" s="345">
        <f t="shared" si="9"/>
        <v>0</v>
      </c>
      <c r="AJ26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</row>
    <row r="27" spans="1:88" s="437" customFormat="1" ht="18.600000000000001" customHeight="1" outlineLevel="1">
      <c r="A27" s="533"/>
      <c r="B27" s="524"/>
      <c r="C27" s="525"/>
      <c r="D27" s="542"/>
      <c r="E27" s="544"/>
      <c r="F27" s="531"/>
      <c r="G27" s="529"/>
      <c r="H27" s="529"/>
      <c r="I27" s="529"/>
      <c r="J27" s="529"/>
      <c r="K27" s="529"/>
      <c r="L27" s="529"/>
      <c r="M27" s="441"/>
      <c r="N27" s="609">
        <f t="shared" si="0"/>
        <v>0</v>
      </c>
      <c r="O27" s="609">
        <f t="shared" si="1"/>
        <v>0</v>
      </c>
      <c r="P27" s="609">
        <f t="shared" si="2"/>
        <v>0</v>
      </c>
      <c r="Q27" s="609">
        <f t="shared" si="3"/>
        <v>0</v>
      </c>
      <c r="R27" s="609">
        <f t="shared" si="4"/>
        <v>0</v>
      </c>
      <c r="S27" s="609">
        <f t="shared" si="5"/>
        <v>0</v>
      </c>
      <c r="T27" s="345">
        <f t="shared" si="7"/>
        <v>0</v>
      </c>
      <c r="U27"/>
      <c r="V27" s="611"/>
      <c r="W27" s="611"/>
      <c r="X27" s="611"/>
      <c r="Y27" s="611"/>
      <c r="Z27" s="611"/>
      <c r="AA27" s="611"/>
      <c r="AB27"/>
      <c r="AC27" s="608">
        <f t="shared" si="8"/>
        <v>0</v>
      </c>
      <c r="AD27" s="608">
        <f t="shared" si="10"/>
        <v>0</v>
      </c>
      <c r="AE27" s="608">
        <f t="shared" si="11"/>
        <v>0</v>
      </c>
      <c r="AF27" s="608">
        <f t="shared" si="12"/>
        <v>0</v>
      </c>
      <c r="AG27" s="608">
        <f t="shared" si="13"/>
        <v>0</v>
      </c>
      <c r="AH27" s="608">
        <f t="shared" si="14"/>
        <v>0</v>
      </c>
      <c r="AI27" s="345">
        <f t="shared" si="9"/>
        <v>0</v>
      </c>
      <c r="AJ2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</row>
    <row r="28" spans="1:88" s="437" customFormat="1" ht="18.600000000000001" customHeight="1" outlineLevel="1">
      <c r="A28" s="533"/>
      <c r="B28" s="524"/>
      <c r="C28" s="525"/>
      <c r="D28" s="545"/>
      <c r="E28" s="546"/>
      <c r="F28" s="531"/>
      <c r="G28" s="529"/>
      <c r="H28" s="529"/>
      <c r="I28" s="529"/>
      <c r="J28" s="529"/>
      <c r="K28" s="529"/>
      <c r="L28" s="529"/>
      <c r="M28" s="441"/>
      <c r="N28" s="609">
        <f t="shared" si="0"/>
        <v>0</v>
      </c>
      <c r="O28" s="609">
        <f t="shared" si="1"/>
        <v>0</v>
      </c>
      <c r="P28" s="609">
        <f t="shared" si="2"/>
        <v>0</v>
      </c>
      <c r="Q28" s="609">
        <f t="shared" si="3"/>
        <v>0</v>
      </c>
      <c r="R28" s="609">
        <f t="shared" si="4"/>
        <v>0</v>
      </c>
      <c r="S28" s="609">
        <f t="shared" si="5"/>
        <v>0</v>
      </c>
      <c r="T28" s="345">
        <f t="shared" si="7"/>
        <v>0</v>
      </c>
      <c r="U28"/>
      <c r="V28" s="611"/>
      <c r="W28" s="611"/>
      <c r="X28" s="611"/>
      <c r="Y28" s="611"/>
      <c r="Z28" s="611"/>
      <c r="AA28" s="611"/>
      <c r="AB28"/>
      <c r="AC28" s="608">
        <f t="shared" si="8"/>
        <v>0</v>
      </c>
      <c r="AD28" s="608">
        <f t="shared" si="10"/>
        <v>0</v>
      </c>
      <c r="AE28" s="608">
        <f t="shared" si="11"/>
        <v>0</v>
      </c>
      <c r="AF28" s="608">
        <f t="shared" si="12"/>
        <v>0</v>
      </c>
      <c r="AG28" s="608">
        <f t="shared" si="13"/>
        <v>0</v>
      </c>
      <c r="AH28" s="608">
        <f t="shared" si="14"/>
        <v>0</v>
      </c>
      <c r="AI28" s="345">
        <f t="shared" si="9"/>
        <v>0</v>
      </c>
      <c r="AJ28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</row>
    <row r="29" spans="1:88" s="437" customFormat="1" ht="18.600000000000001" customHeight="1" outlineLevel="1">
      <c r="A29" s="533"/>
      <c r="B29" s="524"/>
      <c r="C29" s="525"/>
      <c r="D29" s="542"/>
      <c r="E29" s="544"/>
      <c r="F29" s="531"/>
      <c r="G29" s="529"/>
      <c r="H29" s="529"/>
      <c r="I29" s="529"/>
      <c r="J29" s="529"/>
      <c r="K29" s="529"/>
      <c r="L29" s="529"/>
      <c r="M29" s="441"/>
      <c r="N29" s="609">
        <f t="shared" si="0"/>
        <v>0</v>
      </c>
      <c r="O29" s="609">
        <f t="shared" si="1"/>
        <v>0</v>
      </c>
      <c r="P29" s="609">
        <f t="shared" si="2"/>
        <v>0</v>
      </c>
      <c r="Q29" s="609">
        <f t="shared" si="3"/>
        <v>0</v>
      </c>
      <c r="R29" s="609">
        <f t="shared" si="4"/>
        <v>0</v>
      </c>
      <c r="S29" s="609">
        <f t="shared" si="5"/>
        <v>0</v>
      </c>
      <c r="T29" s="345">
        <f t="shared" si="7"/>
        <v>0</v>
      </c>
      <c r="U29"/>
      <c r="V29" s="611"/>
      <c r="W29" s="611"/>
      <c r="X29" s="611"/>
      <c r="Y29" s="611"/>
      <c r="Z29" s="611"/>
      <c r="AA29" s="611"/>
      <c r="AB29"/>
      <c r="AC29" s="608">
        <f t="shared" si="8"/>
        <v>0</v>
      </c>
      <c r="AD29" s="608">
        <f t="shared" si="10"/>
        <v>0</v>
      </c>
      <c r="AE29" s="608">
        <f t="shared" si="11"/>
        <v>0</v>
      </c>
      <c r="AF29" s="608">
        <f t="shared" si="12"/>
        <v>0</v>
      </c>
      <c r="AG29" s="608">
        <f t="shared" si="13"/>
        <v>0</v>
      </c>
      <c r="AH29" s="608">
        <f t="shared" si="14"/>
        <v>0</v>
      </c>
      <c r="AI29" s="345">
        <f t="shared" si="9"/>
        <v>0</v>
      </c>
      <c r="AJ29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</row>
    <row r="30" spans="1:88" s="437" customFormat="1" ht="18.600000000000001" customHeight="1" outlineLevel="1">
      <c r="A30" s="533"/>
      <c r="B30" s="524"/>
      <c r="C30" s="525"/>
      <c r="D30" s="542"/>
      <c r="E30" s="544"/>
      <c r="F30" s="531"/>
      <c r="G30" s="529"/>
      <c r="H30" s="529"/>
      <c r="I30" s="529"/>
      <c r="J30" s="529"/>
      <c r="K30" s="529"/>
      <c r="L30" s="529"/>
      <c r="M30" s="441"/>
      <c r="N30" s="609">
        <f t="shared" si="0"/>
        <v>0</v>
      </c>
      <c r="O30" s="609">
        <f t="shared" si="1"/>
        <v>0</v>
      </c>
      <c r="P30" s="609">
        <f t="shared" si="2"/>
        <v>0</v>
      </c>
      <c r="Q30" s="609">
        <f t="shared" si="3"/>
        <v>0</v>
      </c>
      <c r="R30" s="609">
        <f t="shared" si="4"/>
        <v>0</v>
      </c>
      <c r="S30" s="609">
        <f t="shared" si="5"/>
        <v>0</v>
      </c>
      <c r="T30" s="345">
        <f t="shared" si="7"/>
        <v>0</v>
      </c>
      <c r="U30"/>
      <c r="V30" s="611"/>
      <c r="W30" s="611"/>
      <c r="X30" s="611"/>
      <c r="Y30" s="611"/>
      <c r="Z30" s="611"/>
      <c r="AA30" s="611"/>
      <c r="AB30"/>
      <c r="AC30" s="608">
        <f t="shared" si="8"/>
        <v>0</v>
      </c>
      <c r="AD30" s="608">
        <f t="shared" si="10"/>
        <v>0</v>
      </c>
      <c r="AE30" s="608">
        <f t="shared" si="11"/>
        <v>0</v>
      </c>
      <c r="AF30" s="608">
        <f t="shared" si="12"/>
        <v>0</v>
      </c>
      <c r="AG30" s="608">
        <f t="shared" si="13"/>
        <v>0</v>
      </c>
      <c r="AH30" s="608">
        <f t="shared" si="14"/>
        <v>0</v>
      </c>
      <c r="AI30" s="345">
        <f t="shared" si="9"/>
        <v>0</v>
      </c>
      <c r="AJ30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</row>
    <row r="31" spans="1:88" s="437" customFormat="1" ht="18.600000000000001" customHeight="1" outlineLevel="1">
      <c r="A31" s="533"/>
      <c r="B31" s="524"/>
      <c r="C31" s="525"/>
      <c r="D31" s="542"/>
      <c r="E31" s="544"/>
      <c r="F31" s="531"/>
      <c r="G31" s="529"/>
      <c r="H31" s="529"/>
      <c r="I31" s="529"/>
      <c r="J31" s="529"/>
      <c r="K31" s="529"/>
      <c r="L31" s="529"/>
      <c r="M31" s="441"/>
      <c r="N31" s="609">
        <f t="shared" si="0"/>
        <v>0</v>
      </c>
      <c r="O31" s="609">
        <f t="shared" si="1"/>
        <v>0</v>
      </c>
      <c r="P31" s="609">
        <f t="shared" si="2"/>
        <v>0</v>
      </c>
      <c r="Q31" s="609">
        <f t="shared" si="3"/>
        <v>0</v>
      </c>
      <c r="R31" s="609">
        <f t="shared" si="4"/>
        <v>0</v>
      </c>
      <c r="S31" s="609">
        <f t="shared" si="5"/>
        <v>0</v>
      </c>
      <c r="T31" s="345">
        <f t="shared" si="7"/>
        <v>0</v>
      </c>
      <c r="U31"/>
      <c r="V31" s="611"/>
      <c r="W31" s="611"/>
      <c r="X31" s="611"/>
      <c r="Y31" s="611"/>
      <c r="Z31" s="611"/>
      <c r="AA31" s="611"/>
      <c r="AB31"/>
      <c r="AC31" s="608">
        <f t="shared" si="8"/>
        <v>0</v>
      </c>
      <c r="AD31" s="608">
        <f t="shared" si="10"/>
        <v>0</v>
      </c>
      <c r="AE31" s="608">
        <f t="shared" si="11"/>
        <v>0</v>
      </c>
      <c r="AF31" s="608">
        <f t="shared" si="12"/>
        <v>0</v>
      </c>
      <c r="AG31" s="608">
        <f t="shared" si="13"/>
        <v>0</v>
      </c>
      <c r="AH31" s="608">
        <f t="shared" si="14"/>
        <v>0</v>
      </c>
      <c r="AI31" s="345">
        <f t="shared" si="9"/>
        <v>0</v>
      </c>
      <c r="AJ31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</row>
    <row r="32" spans="1:88" s="437" customFormat="1" ht="18.600000000000001" customHeight="1" outlineLevel="1">
      <c r="A32" s="533"/>
      <c r="B32" s="524"/>
      <c r="C32" s="525"/>
      <c r="D32" s="542"/>
      <c r="E32" s="544"/>
      <c r="F32" s="531"/>
      <c r="G32" s="529"/>
      <c r="H32" s="529"/>
      <c r="I32" s="529"/>
      <c r="J32" s="529"/>
      <c r="K32" s="529"/>
      <c r="L32" s="529"/>
      <c r="M32" s="441"/>
      <c r="N32" s="609">
        <f t="shared" si="0"/>
        <v>0</v>
      </c>
      <c r="O32" s="609">
        <f t="shared" si="1"/>
        <v>0</v>
      </c>
      <c r="P32" s="609">
        <f t="shared" si="2"/>
        <v>0</v>
      </c>
      <c r="Q32" s="609">
        <f t="shared" si="3"/>
        <v>0</v>
      </c>
      <c r="R32" s="609">
        <f t="shared" si="4"/>
        <v>0</v>
      </c>
      <c r="S32" s="609">
        <f t="shared" si="5"/>
        <v>0</v>
      </c>
      <c r="T32" s="345">
        <f t="shared" si="7"/>
        <v>0</v>
      </c>
      <c r="U32"/>
      <c r="V32" s="611"/>
      <c r="W32" s="611"/>
      <c r="X32" s="611"/>
      <c r="Y32" s="611"/>
      <c r="Z32" s="611"/>
      <c r="AA32" s="611"/>
      <c r="AB32"/>
      <c r="AC32" s="608">
        <f t="shared" si="8"/>
        <v>0</v>
      </c>
      <c r="AD32" s="608">
        <f t="shared" si="10"/>
        <v>0</v>
      </c>
      <c r="AE32" s="608">
        <f t="shared" si="11"/>
        <v>0</v>
      </c>
      <c r="AF32" s="608">
        <f t="shared" si="12"/>
        <v>0</v>
      </c>
      <c r="AG32" s="608">
        <f t="shared" si="13"/>
        <v>0</v>
      </c>
      <c r="AH32" s="608">
        <f t="shared" si="14"/>
        <v>0</v>
      </c>
      <c r="AI32" s="345">
        <f t="shared" si="9"/>
        <v>0</v>
      </c>
      <c r="AJ32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</row>
    <row r="33" spans="1:88" s="437" customFormat="1" ht="18.600000000000001" customHeight="1" outlineLevel="1">
      <c r="A33" s="533"/>
      <c r="B33" s="524"/>
      <c r="C33" s="525"/>
      <c r="D33" s="542"/>
      <c r="E33" s="544"/>
      <c r="F33" s="531"/>
      <c r="G33" s="529"/>
      <c r="H33" s="529"/>
      <c r="I33" s="529"/>
      <c r="J33" s="529"/>
      <c r="K33" s="529"/>
      <c r="L33" s="529"/>
      <c r="M33" s="441"/>
      <c r="N33" s="609">
        <f t="shared" si="0"/>
        <v>0</v>
      </c>
      <c r="O33" s="609">
        <f t="shared" si="1"/>
        <v>0</v>
      </c>
      <c r="P33" s="609">
        <f t="shared" si="2"/>
        <v>0</v>
      </c>
      <c r="Q33" s="609">
        <f t="shared" si="3"/>
        <v>0</v>
      </c>
      <c r="R33" s="609">
        <f t="shared" si="4"/>
        <v>0</v>
      </c>
      <c r="S33" s="609">
        <f t="shared" si="5"/>
        <v>0</v>
      </c>
      <c r="T33" s="345">
        <f t="shared" si="7"/>
        <v>0</v>
      </c>
      <c r="U33"/>
      <c r="V33" s="611"/>
      <c r="W33" s="611"/>
      <c r="X33" s="611"/>
      <c r="Y33" s="611"/>
      <c r="Z33" s="611"/>
      <c r="AA33" s="611"/>
      <c r="AB33"/>
      <c r="AC33" s="608">
        <f t="shared" si="8"/>
        <v>0</v>
      </c>
      <c r="AD33" s="608">
        <f t="shared" si="10"/>
        <v>0</v>
      </c>
      <c r="AE33" s="608">
        <f t="shared" si="11"/>
        <v>0</v>
      </c>
      <c r="AF33" s="608">
        <f t="shared" si="12"/>
        <v>0</v>
      </c>
      <c r="AG33" s="608">
        <f t="shared" si="13"/>
        <v>0</v>
      </c>
      <c r="AH33" s="608">
        <f t="shared" si="14"/>
        <v>0</v>
      </c>
      <c r="AI33" s="345">
        <f t="shared" si="9"/>
        <v>0</v>
      </c>
      <c r="AJ33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</row>
    <row r="34" spans="1:88" s="437" customFormat="1" ht="18.600000000000001" customHeight="1" outlineLevel="1">
      <c r="A34" s="533"/>
      <c r="B34" s="524"/>
      <c r="C34" s="525"/>
      <c r="D34" s="547"/>
      <c r="E34" s="548"/>
      <c r="F34" s="531"/>
      <c r="G34" s="529"/>
      <c r="H34" s="529"/>
      <c r="I34" s="529"/>
      <c r="J34" s="529"/>
      <c r="K34" s="529"/>
      <c r="L34" s="529"/>
      <c r="M34" s="441"/>
      <c r="N34" s="609">
        <f t="shared" si="0"/>
        <v>0</v>
      </c>
      <c r="O34" s="609">
        <f t="shared" si="1"/>
        <v>0</v>
      </c>
      <c r="P34" s="609">
        <f t="shared" si="2"/>
        <v>0</v>
      </c>
      <c r="Q34" s="609">
        <f t="shared" si="3"/>
        <v>0</v>
      </c>
      <c r="R34" s="609">
        <f t="shared" si="4"/>
        <v>0</v>
      </c>
      <c r="S34" s="609">
        <f t="shared" si="5"/>
        <v>0</v>
      </c>
      <c r="T34" s="345">
        <f t="shared" si="7"/>
        <v>0</v>
      </c>
      <c r="U34"/>
      <c r="V34" s="611"/>
      <c r="W34" s="611"/>
      <c r="X34" s="611"/>
      <c r="Y34" s="611"/>
      <c r="Z34" s="611"/>
      <c r="AA34" s="611"/>
      <c r="AB34"/>
      <c r="AC34" s="608">
        <f t="shared" si="8"/>
        <v>0</v>
      </c>
      <c r="AD34" s="608">
        <f t="shared" si="10"/>
        <v>0</v>
      </c>
      <c r="AE34" s="608">
        <f t="shared" si="11"/>
        <v>0</v>
      </c>
      <c r="AF34" s="608">
        <f t="shared" si="12"/>
        <v>0</v>
      </c>
      <c r="AG34" s="608">
        <f t="shared" si="13"/>
        <v>0</v>
      </c>
      <c r="AH34" s="608">
        <f t="shared" si="14"/>
        <v>0</v>
      </c>
      <c r="AI34" s="345">
        <f t="shared" si="9"/>
        <v>0</v>
      </c>
      <c r="AJ34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</row>
    <row r="35" spans="1:88" s="437" customFormat="1" ht="18.600000000000001" customHeight="1" outlineLevel="1">
      <c r="A35" s="531"/>
      <c r="B35" s="524"/>
      <c r="C35" s="525"/>
      <c r="D35" s="526"/>
      <c r="E35" s="543"/>
      <c r="F35" s="531"/>
      <c r="G35" s="529"/>
      <c r="H35" s="529"/>
      <c r="I35" s="529"/>
      <c r="J35" s="529"/>
      <c r="K35" s="529"/>
      <c r="L35" s="529"/>
      <c r="M35" s="441"/>
      <c r="N35" s="609">
        <f t="shared" si="0"/>
        <v>0</v>
      </c>
      <c r="O35" s="609">
        <f t="shared" si="1"/>
        <v>0</v>
      </c>
      <c r="P35" s="609">
        <f t="shared" si="2"/>
        <v>0</v>
      </c>
      <c r="Q35" s="609">
        <f t="shared" si="3"/>
        <v>0</v>
      </c>
      <c r="R35" s="609">
        <f t="shared" si="4"/>
        <v>0</v>
      </c>
      <c r="S35" s="609">
        <f t="shared" si="5"/>
        <v>0</v>
      </c>
      <c r="T35" s="345">
        <f t="shared" si="7"/>
        <v>0</v>
      </c>
      <c r="U35"/>
      <c r="V35" s="611"/>
      <c r="W35" s="611"/>
      <c r="X35" s="611"/>
      <c r="Y35" s="611"/>
      <c r="Z35" s="611"/>
      <c r="AA35" s="611"/>
      <c r="AB35"/>
      <c r="AC35" s="608">
        <f t="shared" si="8"/>
        <v>0</v>
      </c>
      <c r="AD35" s="608">
        <f t="shared" si="10"/>
        <v>0</v>
      </c>
      <c r="AE35" s="608">
        <f t="shared" si="11"/>
        <v>0</v>
      </c>
      <c r="AF35" s="608">
        <f t="shared" si="12"/>
        <v>0</v>
      </c>
      <c r="AG35" s="608">
        <f t="shared" si="13"/>
        <v>0</v>
      </c>
      <c r="AH35" s="608">
        <f t="shared" si="14"/>
        <v>0</v>
      </c>
      <c r="AI35" s="345">
        <f t="shared" si="9"/>
        <v>0</v>
      </c>
      <c r="AJ35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</row>
    <row r="36" spans="1:88" s="437" customFormat="1" ht="18.600000000000001" customHeight="1" outlineLevel="1">
      <c r="A36" s="537"/>
      <c r="B36" s="524"/>
      <c r="C36" s="525"/>
      <c r="D36" s="535"/>
      <c r="E36" s="409"/>
      <c r="F36" s="531"/>
      <c r="G36" s="529"/>
      <c r="H36" s="529"/>
      <c r="I36" s="529"/>
      <c r="J36" s="529"/>
      <c r="K36" s="529"/>
      <c r="L36" s="529"/>
      <c r="M36" s="441"/>
      <c r="N36" s="609">
        <f t="shared" si="0"/>
        <v>0</v>
      </c>
      <c r="O36" s="609">
        <f t="shared" si="1"/>
        <v>0</v>
      </c>
      <c r="P36" s="609">
        <f t="shared" si="2"/>
        <v>0</v>
      </c>
      <c r="Q36" s="609">
        <f t="shared" si="3"/>
        <v>0</v>
      </c>
      <c r="R36" s="609">
        <f t="shared" si="4"/>
        <v>0</v>
      </c>
      <c r="S36" s="609">
        <f t="shared" si="5"/>
        <v>0</v>
      </c>
      <c r="T36" s="345">
        <f t="shared" si="7"/>
        <v>0</v>
      </c>
      <c r="U36"/>
      <c r="V36" s="611"/>
      <c r="W36" s="611"/>
      <c r="X36" s="611"/>
      <c r="Y36" s="611"/>
      <c r="Z36" s="611"/>
      <c r="AA36" s="611"/>
      <c r="AB36"/>
      <c r="AC36" s="608">
        <f t="shared" si="8"/>
        <v>0</v>
      </c>
      <c r="AD36" s="608">
        <f t="shared" si="10"/>
        <v>0</v>
      </c>
      <c r="AE36" s="608">
        <f t="shared" si="11"/>
        <v>0</v>
      </c>
      <c r="AF36" s="608">
        <f t="shared" si="12"/>
        <v>0</v>
      </c>
      <c r="AG36" s="608">
        <f t="shared" si="13"/>
        <v>0</v>
      </c>
      <c r="AH36" s="608">
        <f t="shared" si="14"/>
        <v>0</v>
      </c>
      <c r="AI36" s="345">
        <f t="shared" si="9"/>
        <v>0</v>
      </c>
      <c r="AJ36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</row>
    <row r="37" spans="1:88" s="437" customFormat="1" ht="18.600000000000001" customHeight="1" outlineLevel="1">
      <c r="A37" s="537"/>
      <c r="B37" s="524"/>
      <c r="C37" s="525"/>
      <c r="D37" s="535"/>
      <c r="E37" s="536"/>
      <c r="F37" s="549"/>
      <c r="G37" s="529"/>
      <c r="H37" s="550"/>
      <c r="I37" s="550"/>
      <c r="J37" s="550"/>
      <c r="K37" s="550"/>
      <c r="L37" s="550"/>
      <c r="M37" s="441"/>
      <c r="N37" s="609">
        <f t="shared" si="0"/>
        <v>0</v>
      </c>
      <c r="O37" s="609">
        <f t="shared" si="1"/>
        <v>0</v>
      </c>
      <c r="P37" s="609">
        <f t="shared" si="2"/>
        <v>0</v>
      </c>
      <c r="Q37" s="609">
        <f t="shared" si="3"/>
        <v>0</v>
      </c>
      <c r="R37" s="609">
        <f t="shared" si="4"/>
        <v>0</v>
      </c>
      <c r="S37" s="609">
        <f t="shared" si="5"/>
        <v>0</v>
      </c>
      <c r="T37" s="432">
        <f t="shared" si="7"/>
        <v>0</v>
      </c>
      <c r="U37"/>
      <c r="V37" s="611"/>
      <c r="W37" s="611"/>
      <c r="X37" s="611"/>
      <c r="Y37" s="611"/>
      <c r="Z37" s="611"/>
      <c r="AA37" s="611"/>
      <c r="AB37"/>
      <c r="AC37" s="608">
        <f t="shared" si="8"/>
        <v>0</v>
      </c>
      <c r="AD37" s="608">
        <f t="shared" si="10"/>
        <v>0</v>
      </c>
      <c r="AE37" s="608">
        <f t="shared" si="11"/>
        <v>0</v>
      </c>
      <c r="AF37" s="608">
        <f t="shared" si="12"/>
        <v>0</v>
      </c>
      <c r="AG37" s="608">
        <f t="shared" si="13"/>
        <v>0</v>
      </c>
      <c r="AH37" s="608">
        <f t="shared" si="14"/>
        <v>0</v>
      </c>
      <c r="AI37" s="345">
        <f t="shared" si="9"/>
        <v>0</v>
      </c>
      <c r="AJ3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</row>
    <row r="38" spans="1:88" ht="15.75" thickBot="1">
      <c r="D38" s="292"/>
      <c r="E38" s="292"/>
      <c r="F38" s="442" t="s">
        <v>25</v>
      </c>
      <c r="G38" s="593">
        <f>SUM(G6:G37)</f>
        <v>0</v>
      </c>
      <c r="H38" s="593">
        <f t="shared" ref="H38:L38" si="15">SUM(H6:H37)</f>
        <v>0</v>
      </c>
      <c r="I38" s="593">
        <f t="shared" si="15"/>
        <v>0</v>
      </c>
      <c r="J38" s="593">
        <f t="shared" si="15"/>
        <v>0</v>
      </c>
      <c r="K38" s="593">
        <f t="shared" si="15"/>
        <v>0</v>
      </c>
      <c r="L38" s="593">
        <f t="shared" si="15"/>
        <v>0</v>
      </c>
      <c r="M38" s="441"/>
      <c r="N38" s="610">
        <f>SUM(N6:N37)</f>
        <v>0</v>
      </c>
      <c r="O38" s="610">
        <f t="shared" ref="O38:T38" si="16">SUM(O6:O37)</f>
        <v>0</v>
      </c>
      <c r="P38" s="610">
        <f t="shared" si="16"/>
        <v>0</v>
      </c>
      <c r="Q38" s="610">
        <f t="shared" si="16"/>
        <v>0</v>
      </c>
      <c r="R38" s="610">
        <f t="shared" si="16"/>
        <v>0</v>
      </c>
      <c r="S38" s="610">
        <f t="shared" si="16"/>
        <v>0</v>
      </c>
      <c r="T38" s="433">
        <f t="shared" si="16"/>
        <v>0</v>
      </c>
      <c r="AC38" s="433">
        <f>SUM(AC6:AC37)</f>
        <v>0</v>
      </c>
      <c r="AD38" s="433">
        <f t="shared" ref="AD38:AI38" si="17">SUM(AD6:AD37)</f>
        <v>0</v>
      </c>
      <c r="AE38" s="433">
        <f t="shared" si="17"/>
        <v>0</v>
      </c>
      <c r="AF38" s="433">
        <f t="shared" si="17"/>
        <v>0</v>
      </c>
      <c r="AG38" s="433">
        <f t="shared" si="17"/>
        <v>0</v>
      </c>
      <c r="AH38" s="433">
        <f t="shared" si="17"/>
        <v>0</v>
      </c>
      <c r="AI38" s="433">
        <f t="shared" si="17"/>
        <v>0</v>
      </c>
    </row>
    <row r="39" spans="1:88" ht="15.75" thickTop="1">
      <c r="M39" s="441"/>
    </row>
    <row r="40" spans="1:88" s="167" customFormat="1">
      <c r="I40" s="573"/>
      <c r="J40" s="573"/>
      <c r="K40" s="573"/>
      <c r="L40" s="573"/>
      <c r="M40" s="574"/>
      <c r="N40" s="575"/>
    </row>
    <row r="41" spans="1:88" s="167" customFormat="1">
      <c r="E41" s="576"/>
      <c r="N41" s="575"/>
    </row>
    <row r="42" spans="1:88" s="167" customFormat="1">
      <c r="E42" s="576"/>
      <c r="F42" s="577"/>
      <c r="G42" s="577"/>
      <c r="T42" s="578"/>
      <c r="V42" s="578"/>
      <c r="W42" s="578"/>
      <c r="X42" s="578"/>
      <c r="Y42" s="578"/>
      <c r="Z42" s="578"/>
      <c r="AA42" s="578"/>
    </row>
    <row r="43" spans="1:88" s="167" customFormat="1">
      <c r="E43" s="578"/>
      <c r="F43" s="578"/>
    </row>
    <row r="44" spans="1:88" s="167" customFormat="1">
      <c r="E44" s="576"/>
      <c r="F44" s="578"/>
    </row>
    <row r="45" spans="1:88" s="167" customFormat="1"/>
    <row r="46" spans="1:88" s="167" customFormat="1"/>
    <row r="47" spans="1:88" s="167" customFormat="1"/>
    <row r="48" spans="1:88" s="167" customFormat="1"/>
    <row r="49" s="167" customFormat="1"/>
    <row r="50" s="167" customFormat="1"/>
    <row r="51" s="167" customFormat="1"/>
    <row r="52" s="167" customFormat="1"/>
    <row r="53" s="167" customFormat="1"/>
    <row r="54" s="167" customFormat="1"/>
    <row r="55" s="167" customFormat="1"/>
    <row r="56" s="167" customFormat="1"/>
    <row r="57" s="167" customFormat="1"/>
    <row r="58" s="167" customFormat="1"/>
    <row r="59" s="167" customFormat="1"/>
    <row r="60" s="167" customFormat="1"/>
    <row r="61" s="167" customFormat="1"/>
    <row r="62" s="167" customFormat="1"/>
    <row r="63" s="167" customFormat="1"/>
    <row r="64" s="167" customFormat="1"/>
    <row r="65" s="167" customFormat="1"/>
  </sheetData>
  <protectedRanges>
    <protectedRange sqref="A6:C17 A18:B19 A36:D36 A20:C35 G36:L36 A37:L37" name="Data Input2"/>
    <protectedRange sqref="C18:C19" name="Data Input2_1"/>
    <protectedRange sqref="D6:D35" name="Data Input2_2"/>
    <protectedRange sqref="E6:F36" name="Data Input2_4"/>
    <protectedRange sqref="G6:G35" name="Data Input2_5"/>
    <protectedRange sqref="H6:H35" name="Data Input2_6"/>
    <protectedRange sqref="I6:L35" name="Data Input2_7"/>
    <protectedRange sqref="AC6:AH37" name="Data Input2_3"/>
  </protectedRanges>
  <mergeCells count="4">
    <mergeCell ref="AC4:AI4"/>
    <mergeCell ref="N4:T4"/>
    <mergeCell ref="A4:L4"/>
    <mergeCell ref="V4:AA4"/>
  </mergeCells>
  <dataValidations count="1">
    <dataValidation allowBlank="1" showInputMessage="1" showErrorMessage="1" prompt="Calculation:_x000a_Cost= Recharge Rate * Unit of Measurement" sqref="N5:S5 G5:L5 AC5:AH5" xr:uid="{4F8061E1-E401-4C1F-B093-DEDEDE3B546D}"/>
  </dataValidations>
  <pageMargins left="0.7" right="0.7" top="0.75" bottom="0.75" header="0.3" footer="0.3"/>
  <pageSetup scale="46" orientation="portrait" r:id="rId1"/>
  <ignoredErrors>
    <ignoredError sqref="AC7:AH37 AD6:AH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'Drop Down'!$A$1:$A$9</xm:f>
          </x14:formula1>
          <xm:sqref>B6:B37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0"/>
  <sheetViews>
    <sheetView workbookViewId="0"/>
  </sheetViews>
  <sheetFormatPr defaultRowHeight="15"/>
  <cols>
    <col min="2" max="2" width="20.42578125" customWidth="1"/>
    <col min="3" max="3" width="32.28515625" customWidth="1"/>
    <col min="4" max="4" width="27.7109375" customWidth="1"/>
    <col min="5" max="5" width="16.85546875" customWidth="1"/>
    <col min="6" max="6" width="19.28515625" customWidth="1"/>
    <col min="7" max="7" width="13.7109375" bestFit="1" customWidth="1"/>
    <col min="8" max="8" width="13.5703125" bestFit="1" customWidth="1"/>
    <col min="9" max="9" width="14.7109375" bestFit="1" customWidth="1"/>
    <col min="10" max="10" width="13.28515625" customWidth="1"/>
  </cols>
  <sheetData>
    <row r="1" spans="1:14">
      <c r="A1" s="6" t="s">
        <v>49</v>
      </c>
    </row>
    <row r="3" spans="1:14">
      <c r="E3" s="7"/>
      <c r="G3" s="7" t="s">
        <v>50</v>
      </c>
    </row>
    <row r="4" spans="1:14" ht="26.25">
      <c r="A4" t="s">
        <v>51</v>
      </c>
      <c r="B4" t="s">
        <v>52</v>
      </c>
      <c r="C4" s="8" t="s">
        <v>53</v>
      </c>
      <c r="D4" s="8" t="s">
        <v>3</v>
      </c>
      <c r="E4" s="9" t="s">
        <v>98</v>
      </c>
      <c r="F4" s="8" t="s">
        <v>54</v>
      </c>
      <c r="G4" s="8"/>
      <c r="H4" s="8"/>
      <c r="I4" s="8"/>
      <c r="J4" s="9" t="s">
        <v>65</v>
      </c>
      <c r="N4" t="s">
        <v>114</v>
      </c>
    </row>
    <row r="5" spans="1:14" ht="15" customHeight="1">
      <c r="A5" t="s">
        <v>67</v>
      </c>
      <c r="B5" s="5" t="s">
        <v>55</v>
      </c>
      <c r="C5" t="str">
        <f>'Staffing LIst'!A2</f>
        <v>ADAMS,WILLIAM L</v>
      </c>
      <c r="D5" t="str">
        <f>'Staffing LIst'!B2</f>
        <v>SR BLDG MAINT WORKER</v>
      </c>
      <c r="E5" s="10">
        <f>'Staffing LIst'!E2</f>
        <v>84350.5</v>
      </c>
      <c r="F5" s="664"/>
      <c r="G5" s="664"/>
      <c r="H5" s="664"/>
      <c r="I5" s="664"/>
      <c r="J5" s="11"/>
      <c r="N5" t="s">
        <v>115</v>
      </c>
    </row>
    <row r="6" spans="1:14" ht="15" customHeight="1">
      <c r="A6" t="s">
        <v>68</v>
      </c>
      <c r="B6" s="5" t="s">
        <v>55</v>
      </c>
      <c r="C6" t="str">
        <f>'Staffing LIst'!A3</f>
        <v>ARREDONDO,VICTOR H</v>
      </c>
      <c r="D6" t="str">
        <f>'Staffing LIst'!B3</f>
        <v>SR CUSTODIAN</v>
      </c>
      <c r="E6" s="10">
        <f>'Staffing LIst'!E3</f>
        <v>45056.098749999997</v>
      </c>
      <c r="F6" s="664"/>
      <c r="G6" s="664"/>
      <c r="H6" s="664"/>
      <c r="I6" s="664"/>
      <c r="J6" s="11"/>
      <c r="N6" t="s">
        <v>116</v>
      </c>
    </row>
    <row r="7" spans="1:14" ht="15" customHeight="1">
      <c r="A7" t="s">
        <v>69</v>
      </c>
      <c r="B7" s="5" t="s">
        <v>55</v>
      </c>
      <c r="C7" t="str">
        <f>'Staffing LIst'!A4</f>
        <v>DRISKILL,DEBRA L</v>
      </c>
      <c r="D7" t="str">
        <f>'Staffing LIst'!B4</f>
        <v>ADMIN OFFICER 4</v>
      </c>
      <c r="E7" s="10">
        <f>'Staffing LIst'!E4</f>
        <v>64954.255199399995</v>
      </c>
      <c r="F7" s="664"/>
      <c r="G7" s="664"/>
      <c r="H7" s="664"/>
      <c r="I7" s="664"/>
      <c r="J7" s="11"/>
    </row>
    <row r="8" spans="1:14" ht="15" customHeight="1">
      <c r="A8" t="s">
        <v>70</v>
      </c>
      <c r="B8" s="5" t="s">
        <v>55</v>
      </c>
      <c r="C8" t="str">
        <f>'Staffing LIst'!A5</f>
        <v>LOPEZ GOMEZ,GERSAIN</v>
      </c>
      <c r="D8" t="str">
        <f>'Staffing LIst'!B5</f>
        <v xml:space="preserve">AGRIC TECHNICIAN </v>
      </c>
      <c r="E8" s="10">
        <f>'Staffing LIst'!E5</f>
        <v>57986.5</v>
      </c>
      <c r="F8" s="664"/>
      <c r="G8" s="664"/>
      <c r="H8" s="664"/>
      <c r="I8" s="664"/>
      <c r="J8" s="11"/>
    </row>
    <row r="9" spans="1:14" ht="15" customHeight="1">
      <c r="A9" t="s">
        <v>71</v>
      </c>
      <c r="B9" s="5" t="s">
        <v>55</v>
      </c>
      <c r="C9" t="str">
        <f>'Staffing LIst'!A6</f>
        <v>MACIEL,FRANCISCO T</v>
      </c>
      <c r="D9" t="str">
        <f>'Staffing LIst'!B6</f>
        <v>STAFF RES ASSOC 2</v>
      </c>
      <c r="E9" s="10">
        <f>'Staffing LIst'!E6</f>
        <v>79767.355500000005</v>
      </c>
      <c r="F9" s="664"/>
      <c r="G9" s="664"/>
      <c r="H9" s="664"/>
      <c r="I9" s="664"/>
      <c r="J9" s="11"/>
    </row>
    <row r="10" spans="1:14" ht="15" customHeight="1">
      <c r="A10" t="s">
        <v>72</v>
      </c>
      <c r="B10" s="5" t="s">
        <v>55</v>
      </c>
      <c r="C10" t="str">
        <f>'Staffing LIst'!A7</f>
        <v>MAGALLON,GILBERTO</v>
      </c>
      <c r="D10" t="str">
        <f>'Staffing LIst'!B7</f>
        <v>AGRICULTURE SUPV 2</v>
      </c>
      <c r="E10" s="10">
        <f>'Staffing LIst'!E7</f>
        <v>95449.179000000004</v>
      </c>
      <c r="F10" s="664"/>
      <c r="G10" s="664"/>
      <c r="H10" s="664"/>
      <c r="I10" s="664"/>
      <c r="J10" s="11"/>
    </row>
    <row r="11" spans="1:14">
      <c r="A11" t="s">
        <v>73</v>
      </c>
      <c r="B11" s="5" t="s">
        <v>55</v>
      </c>
      <c r="C11" t="str">
        <f>'Staffing LIst'!A8</f>
        <v>MARTINEZ,SERGIO M.</v>
      </c>
      <c r="D11" t="str">
        <f>'Staffing LIst'!B8</f>
        <v>ANIMAL TECHNICIAN</v>
      </c>
      <c r="E11" s="10">
        <f>'Staffing LIst'!E8</f>
        <v>64465.716</v>
      </c>
      <c r="F11" s="664"/>
      <c r="G11" s="664"/>
      <c r="H11" s="664"/>
      <c r="I11" s="664"/>
    </row>
    <row r="12" spans="1:14">
      <c r="A12" t="s">
        <v>74</v>
      </c>
      <c r="B12" s="5" t="s">
        <v>55</v>
      </c>
      <c r="C12" t="str">
        <f>'Staffing LIst'!A9</f>
        <v>ORTEGA,ROGELIO</v>
      </c>
      <c r="D12" t="str">
        <f>'Staffing LIst'!B9</f>
        <v>PRIN AGRIC TECHNICIAN</v>
      </c>
      <c r="E12" s="10">
        <f>'Staffing LIst'!E9</f>
        <v>76139.375</v>
      </c>
      <c r="F12" s="664"/>
      <c r="G12" s="664"/>
      <c r="H12" s="664"/>
      <c r="I12" s="664"/>
    </row>
    <row r="13" spans="1:14" ht="32.25" customHeight="1">
      <c r="A13" t="s">
        <v>75</v>
      </c>
      <c r="B13" s="5" t="s">
        <v>55</v>
      </c>
      <c r="C13" s="5" t="str">
        <f>'Staffing LIst'!A10</f>
        <v>PLACEHOLDER FOR ARREDONDO WORK TIME IN RES</v>
      </c>
      <c r="D13" t="str">
        <f>'Staffing LIst'!B10</f>
        <v>SR CUSTODIAN</v>
      </c>
      <c r="E13" s="10">
        <f>'Staffing LIst'!E10</f>
        <v>19310</v>
      </c>
      <c r="F13" s="664"/>
      <c r="G13" s="664"/>
      <c r="H13" s="664"/>
      <c r="I13" s="664"/>
    </row>
    <row r="14" spans="1:14">
      <c r="A14" t="s">
        <v>76</v>
      </c>
      <c r="B14" s="5" t="s">
        <v>55</v>
      </c>
      <c r="C14" t="str">
        <f>'Staffing LIst'!A11</f>
        <v>PRECIADO,DAVID R</v>
      </c>
      <c r="D14" t="str">
        <f>'Staffing LIst'!B11</f>
        <v>PHYS PLT MECH 2</v>
      </c>
      <c r="E14" s="10">
        <f>'Staffing LIst'!E11</f>
        <v>80790.633000000002</v>
      </c>
      <c r="F14" s="664"/>
      <c r="G14" s="664"/>
      <c r="H14" s="664"/>
      <c r="I14" s="664"/>
    </row>
    <row r="15" spans="1:14">
      <c r="A15" t="s">
        <v>77</v>
      </c>
      <c r="B15" s="5" t="s">
        <v>55</v>
      </c>
      <c r="C15" t="str">
        <f>'Staffing LIst'!A12</f>
        <v>PLACEHOLDER FOR CENTER DIRECTOR DIAZ-RAMIREZ</v>
      </c>
      <c r="D15" t="str">
        <f>'Staffing LIst'!B12</f>
        <v>ASSOC SPECIALIST COOP EXT</v>
      </c>
      <c r="E15" s="10">
        <f>'Staffing LIst'!E12</f>
        <v>166371.24</v>
      </c>
      <c r="F15" s="664"/>
      <c r="G15" s="664"/>
      <c r="H15" s="664"/>
      <c r="I15" s="664"/>
    </row>
    <row r="16" spans="1:14">
      <c r="A16" t="s">
        <v>78</v>
      </c>
      <c r="B16" s="5" t="s">
        <v>55</v>
      </c>
      <c r="C16" t="str">
        <f>'Staffing LIst'!A13</f>
        <v>PROVISION: TC 9617 (PREVIOUS MAGALLON)</v>
      </c>
      <c r="D16" t="str">
        <f>'Staffing LIst'!B13</f>
        <v>STAFF RES ASSOC 2</v>
      </c>
      <c r="E16" s="10">
        <f>'Staffing LIst'!E13</f>
        <v>82999.686000000002</v>
      </c>
      <c r="F16" s="664"/>
      <c r="G16" s="664"/>
      <c r="H16" s="664"/>
      <c r="I16" s="664"/>
    </row>
    <row r="17" spans="1:9">
      <c r="A17" t="s">
        <v>79</v>
      </c>
      <c r="B17" s="5" t="s">
        <v>55</v>
      </c>
      <c r="C17" t="str">
        <f>'Staffing LIst'!A14</f>
        <v>QUINTANA,SILVIA</v>
      </c>
      <c r="D17" t="str">
        <f>'Staffing LIst'!B14</f>
        <v>BLANK ASST 2</v>
      </c>
      <c r="E17" s="10">
        <f>'Staffing LIst'!E14</f>
        <v>70845.125</v>
      </c>
      <c r="F17" s="664"/>
      <c r="G17" s="664"/>
      <c r="H17" s="664"/>
      <c r="I17" s="664"/>
    </row>
    <row r="18" spans="1:9">
      <c r="A18" t="s">
        <v>80</v>
      </c>
      <c r="B18" s="5" t="s">
        <v>55</v>
      </c>
      <c r="C18" t="str">
        <f>'Staffing LIst'!A15</f>
        <v>SAMBRANO,EFRAIN R</v>
      </c>
      <c r="D18" t="str">
        <f>'Staffing LIst'!B15</f>
        <v xml:space="preserve">AGRIC TECHNICIAN </v>
      </c>
      <c r="E18" s="10">
        <f>'Staffing LIst'!E15</f>
        <v>75019.75</v>
      </c>
      <c r="F18" s="664"/>
      <c r="G18" s="664"/>
      <c r="H18" s="664"/>
      <c r="I18" s="664"/>
    </row>
    <row r="19" spans="1:9">
      <c r="A19" t="s">
        <v>81</v>
      </c>
      <c r="B19" s="5" t="s">
        <v>55</v>
      </c>
      <c r="C19" t="str">
        <f>'Staffing LIst'!A16</f>
        <v>SEVERE,JENNA N</v>
      </c>
      <c r="D19" t="str">
        <f>'Staffing LIst'!B16</f>
        <v>BLANK ASST 2</v>
      </c>
      <c r="E19" s="10">
        <f>'Staffing LIst'!E16</f>
        <v>45672.25</v>
      </c>
      <c r="F19" s="664"/>
      <c r="G19" s="664"/>
      <c r="H19" s="664"/>
      <c r="I19" s="664"/>
    </row>
    <row r="20" spans="1:9">
      <c r="A20" t="s">
        <v>82</v>
      </c>
      <c r="B20" s="5" t="s">
        <v>55</v>
      </c>
      <c r="C20" t="str">
        <f>'Staffing LIst'!A17</f>
        <v>SILVA,ARMANDO</v>
      </c>
      <c r="D20" t="str">
        <f>'Staffing LIst'!B17</f>
        <v>FARM MACHINERY MECH</v>
      </c>
      <c r="E20" s="10">
        <f>'Staffing LIst'!E17</f>
        <v>107253.25</v>
      </c>
      <c r="F20" s="664"/>
      <c r="G20" s="664"/>
      <c r="H20" s="664"/>
      <c r="I20" s="664"/>
    </row>
    <row r="21" spans="1:9">
      <c r="A21" t="s">
        <v>83</v>
      </c>
      <c r="B21" s="5" t="s">
        <v>55</v>
      </c>
      <c r="C21" t="str">
        <f>'Staffing LIst'!A18</f>
        <v>WILLS,STACEY C</v>
      </c>
      <c r="D21" t="str">
        <f>'Staffing LIst'!B18</f>
        <v>CMTY EDUC SPEC 3</v>
      </c>
      <c r="E21" s="10">
        <f>'Staffing LIst'!E18</f>
        <v>70962.125</v>
      </c>
      <c r="F21" s="664"/>
      <c r="G21" s="664"/>
      <c r="H21" s="664"/>
      <c r="I21" s="664"/>
    </row>
    <row r="22" spans="1:9">
      <c r="A22" t="s">
        <v>84</v>
      </c>
      <c r="B22" s="5" t="s">
        <v>55</v>
      </c>
      <c r="C22" t="s">
        <v>58</v>
      </c>
      <c r="E22" s="14">
        <v>100000</v>
      </c>
      <c r="F22" s="664"/>
      <c r="G22" s="664"/>
      <c r="H22" s="664"/>
      <c r="I22" s="664"/>
    </row>
    <row r="23" spans="1:9">
      <c r="A23" t="s">
        <v>85</v>
      </c>
      <c r="B23" t="s">
        <v>57</v>
      </c>
      <c r="C23" t="s">
        <v>59</v>
      </c>
      <c r="E23" s="14">
        <v>3000</v>
      </c>
      <c r="F23" s="664"/>
      <c r="G23" s="664"/>
      <c r="H23" s="664"/>
      <c r="I23" s="664"/>
    </row>
    <row r="24" spans="1:9">
      <c r="A24" t="s">
        <v>86</v>
      </c>
      <c r="B24" t="s">
        <v>57</v>
      </c>
      <c r="C24" t="s">
        <v>60</v>
      </c>
      <c r="E24" s="14">
        <v>20000</v>
      </c>
      <c r="F24" s="664"/>
      <c r="G24" s="664"/>
      <c r="H24" s="664"/>
      <c r="I24" s="664"/>
    </row>
    <row r="25" spans="1:9">
      <c r="A25" t="s">
        <v>87</v>
      </c>
      <c r="B25" t="s">
        <v>57</v>
      </c>
      <c r="C25" t="s">
        <v>61</v>
      </c>
      <c r="E25" s="14">
        <v>10000</v>
      </c>
      <c r="F25" s="664"/>
      <c r="G25" s="664"/>
      <c r="H25" s="664"/>
      <c r="I25" s="664"/>
    </row>
    <row r="26" spans="1:9">
      <c r="A26" t="s">
        <v>88</v>
      </c>
      <c r="B26" t="s">
        <v>57</v>
      </c>
      <c r="C26" t="s">
        <v>63</v>
      </c>
      <c r="E26" s="14">
        <v>4000</v>
      </c>
      <c r="F26" s="664"/>
      <c r="G26" s="664"/>
      <c r="H26" s="664"/>
      <c r="I26" s="664"/>
    </row>
    <row r="27" spans="1:9">
      <c r="A27" t="s">
        <v>89</v>
      </c>
      <c r="B27" t="s">
        <v>62</v>
      </c>
      <c r="C27" t="s">
        <v>62</v>
      </c>
      <c r="E27" s="14">
        <v>40000</v>
      </c>
      <c r="F27" s="664"/>
      <c r="G27" s="664"/>
      <c r="H27" s="664"/>
      <c r="I27" s="664"/>
    </row>
    <row r="28" spans="1:9">
      <c r="A28" t="s">
        <v>90</v>
      </c>
      <c r="B28" t="s">
        <v>56</v>
      </c>
      <c r="C28" t="s">
        <v>56</v>
      </c>
      <c r="E28" s="14">
        <v>50000</v>
      </c>
    </row>
    <row r="29" spans="1:9">
      <c r="B29" s="12" t="s">
        <v>64</v>
      </c>
      <c r="C29" s="12"/>
      <c r="D29" s="12"/>
      <c r="E29" s="13">
        <f>SUM(E5:E28)</f>
        <v>1514393.0384494001</v>
      </c>
      <c r="F29" s="12"/>
      <c r="G29" s="12"/>
    </row>
    <row r="33" spans="2:10">
      <c r="B33" t="s">
        <v>51</v>
      </c>
      <c r="C33" s="8"/>
      <c r="E33" s="15" t="s">
        <v>91</v>
      </c>
      <c r="F33" s="15" t="s">
        <v>92</v>
      </c>
      <c r="G33" s="15" t="s">
        <v>93</v>
      </c>
      <c r="H33" s="15" t="s">
        <v>94</v>
      </c>
      <c r="I33" s="15" t="s">
        <v>96</v>
      </c>
    </row>
    <row r="34" spans="2:10" ht="26.25">
      <c r="C34" s="8" t="s">
        <v>53</v>
      </c>
      <c r="D34" s="9" t="s">
        <v>98</v>
      </c>
      <c r="E34" s="7" t="s">
        <v>99</v>
      </c>
      <c r="F34" s="7" t="s">
        <v>56</v>
      </c>
      <c r="G34" s="9" t="s">
        <v>57</v>
      </c>
      <c r="H34" s="7" t="s">
        <v>66</v>
      </c>
      <c r="I34" s="9" t="s">
        <v>95</v>
      </c>
      <c r="J34" s="9" t="s">
        <v>97</v>
      </c>
    </row>
    <row r="35" spans="2:10">
      <c r="B35" t="str">
        <f>A5</f>
        <v>A.1</v>
      </c>
      <c r="C35" t="str">
        <f>C5</f>
        <v>ADAMS,WILLIAM L</v>
      </c>
      <c r="D35" s="14">
        <f>E5</f>
        <v>84350.5</v>
      </c>
      <c r="E35" s="16">
        <f>D35</f>
        <v>84350.5</v>
      </c>
      <c r="F35" s="16"/>
      <c r="G35" s="16"/>
      <c r="H35" s="16"/>
      <c r="I35" s="16"/>
      <c r="J35" s="16">
        <f>E35+F35+G35+H35+I35</f>
        <v>84350.5</v>
      </c>
    </row>
    <row r="36" spans="2:10">
      <c r="B36" t="str">
        <f t="shared" ref="B36:B58" si="0">A6</f>
        <v>A.2</v>
      </c>
      <c r="C36" t="str">
        <f t="shared" ref="C36:C58" si="1">C6</f>
        <v>ARREDONDO,VICTOR H</v>
      </c>
      <c r="D36" s="14">
        <f t="shared" ref="D36:D58" si="2">E6</f>
        <v>45056.098749999997</v>
      </c>
      <c r="E36" s="16">
        <f t="shared" ref="E36:E51" si="3">D36</f>
        <v>45056.098749999997</v>
      </c>
      <c r="F36" s="16"/>
      <c r="G36" s="16"/>
      <c r="H36" s="16"/>
      <c r="I36" s="16"/>
      <c r="J36" s="16">
        <f t="shared" ref="J36:J58" si="4">E36+F36+G36+H36+I36</f>
        <v>45056.098749999997</v>
      </c>
    </row>
    <row r="37" spans="2:10">
      <c r="B37" t="str">
        <f t="shared" si="0"/>
        <v>A.3</v>
      </c>
      <c r="C37" t="str">
        <f t="shared" si="1"/>
        <v>DRISKILL,DEBRA L</v>
      </c>
      <c r="D37" s="14">
        <f t="shared" si="2"/>
        <v>64954.255199399995</v>
      </c>
      <c r="E37" s="16">
        <f t="shared" si="3"/>
        <v>64954.255199399995</v>
      </c>
      <c r="F37" s="16"/>
      <c r="G37" s="16"/>
      <c r="H37" s="16"/>
      <c r="I37" s="16"/>
      <c r="J37" s="16">
        <f t="shared" si="4"/>
        <v>64954.255199399995</v>
      </c>
    </row>
    <row r="38" spans="2:10">
      <c r="B38" t="str">
        <f t="shared" si="0"/>
        <v>A.4</v>
      </c>
      <c r="C38" t="str">
        <f t="shared" si="1"/>
        <v>LOPEZ GOMEZ,GERSAIN</v>
      </c>
      <c r="D38" s="14">
        <f t="shared" si="2"/>
        <v>57986.5</v>
      </c>
      <c r="E38" s="16">
        <f t="shared" si="3"/>
        <v>57986.5</v>
      </c>
      <c r="F38" s="16"/>
      <c r="G38" s="16"/>
      <c r="H38" s="16"/>
      <c r="I38" s="16"/>
      <c r="J38" s="16">
        <f t="shared" si="4"/>
        <v>57986.5</v>
      </c>
    </row>
    <row r="39" spans="2:10">
      <c r="B39" t="str">
        <f t="shared" si="0"/>
        <v>A.5</v>
      </c>
      <c r="C39" t="str">
        <f t="shared" si="1"/>
        <v>MACIEL,FRANCISCO T</v>
      </c>
      <c r="D39" s="14">
        <f t="shared" si="2"/>
        <v>79767.355500000005</v>
      </c>
      <c r="E39" s="16">
        <f t="shared" si="3"/>
        <v>79767.355500000005</v>
      </c>
      <c r="F39" s="16"/>
      <c r="G39" s="16"/>
      <c r="H39" s="16"/>
      <c r="I39" s="16"/>
      <c r="J39" s="16">
        <f t="shared" si="4"/>
        <v>79767.355500000005</v>
      </c>
    </row>
    <row r="40" spans="2:10">
      <c r="B40" t="str">
        <f t="shared" si="0"/>
        <v>A.6</v>
      </c>
      <c r="C40" t="str">
        <f t="shared" si="1"/>
        <v>MAGALLON,GILBERTO</v>
      </c>
      <c r="D40" s="14">
        <f t="shared" si="2"/>
        <v>95449.179000000004</v>
      </c>
      <c r="E40" s="16">
        <f t="shared" si="3"/>
        <v>95449.179000000004</v>
      </c>
      <c r="F40" s="16"/>
      <c r="G40" s="16"/>
      <c r="H40" s="16"/>
      <c r="I40" s="16"/>
      <c r="J40" s="16">
        <f t="shared" si="4"/>
        <v>95449.179000000004</v>
      </c>
    </row>
    <row r="41" spans="2:10">
      <c r="B41" t="str">
        <f t="shared" si="0"/>
        <v>A.7</v>
      </c>
      <c r="C41" t="str">
        <f t="shared" si="1"/>
        <v>MARTINEZ,SERGIO M.</v>
      </c>
      <c r="D41" s="14">
        <f t="shared" si="2"/>
        <v>64465.716</v>
      </c>
      <c r="E41" s="16">
        <f t="shared" si="3"/>
        <v>64465.716</v>
      </c>
      <c r="F41" s="16"/>
      <c r="G41" s="16"/>
      <c r="H41" s="16"/>
      <c r="I41" s="16"/>
      <c r="J41" s="16">
        <f t="shared" si="4"/>
        <v>64465.716</v>
      </c>
    </row>
    <row r="42" spans="2:10">
      <c r="B42" t="str">
        <f t="shared" si="0"/>
        <v>A.8</v>
      </c>
      <c r="C42" t="str">
        <f t="shared" si="1"/>
        <v>ORTEGA,ROGELIO</v>
      </c>
      <c r="D42" s="14">
        <f t="shared" si="2"/>
        <v>76139.375</v>
      </c>
      <c r="E42" s="16">
        <f t="shared" si="3"/>
        <v>76139.375</v>
      </c>
      <c r="F42" s="16"/>
      <c r="G42" s="16"/>
      <c r="H42" s="16"/>
      <c r="I42" s="16"/>
      <c r="J42" s="16">
        <f t="shared" si="4"/>
        <v>76139.375</v>
      </c>
    </row>
    <row r="43" spans="2:10">
      <c r="B43" t="str">
        <f t="shared" si="0"/>
        <v>A.9</v>
      </c>
      <c r="C43" t="str">
        <f t="shared" si="1"/>
        <v>PLACEHOLDER FOR ARREDONDO WORK TIME IN RES</v>
      </c>
      <c r="D43" s="14">
        <f t="shared" si="2"/>
        <v>19310</v>
      </c>
      <c r="E43" s="16">
        <f t="shared" si="3"/>
        <v>19310</v>
      </c>
      <c r="F43" s="16"/>
      <c r="G43" s="16"/>
      <c r="H43" s="16"/>
      <c r="I43" s="16"/>
      <c r="J43" s="16">
        <f t="shared" si="4"/>
        <v>19310</v>
      </c>
    </row>
    <row r="44" spans="2:10">
      <c r="B44" t="str">
        <f t="shared" si="0"/>
        <v>A.10</v>
      </c>
      <c r="C44" t="str">
        <f t="shared" si="1"/>
        <v>PRECIADO,DAVID R</v>
      </c>
      <c r="D44" s="14">
        <f t="shared" si="2"/>
        <v>80790.633000000002</v>
      </c>
      <c r="E44" s="16">
        <f t="shared" si="3"/>
        <v>80790.633000000002</v>
      </c>
      <c r="F44" s="16"/>
      <c r="G44" s="16"/>
      <c r="H44" s="16"/>
      <c r="I44" s="16"/>
      <c r="J44" s="16">
        <f t="shared" si="4"/>
        <v>80790.633000000002</v>
      </c>
    </row>
    <row r="45" spans="2:10">
      <c r="B45" t="str">
        <f t="shared" si="0"/>
        <v>A.11</v>
      </c>
      <c r="C45" t="str">
        <f t="shared" si="1"/>
        <v>PLACEHOLDER FOR CENTER DIRECTOR DIAZ-RAMIREZ</v>
      </c>
      <c r="D45" s="14">
        <f t="shared" si="2"/>
        <v>166371.24</v>
      </c>
      <c r="E45" s="16">
        <f t="shared" si="3"/>
        <v>166371.24</v>
      </c>
      <c r="F45" s="16"/>
      <c r="G45" s="16"/>
      <c r="H45" s="16"/>
      <c r="I45" s="16"/>
      <c r="J45" s="16">
        <f t="shared" si="4"/>
        <v>166371.24</v>
      </c>
    </row>
    <row r="46" spans="2:10">
      <c r="B46" t="str">
        <f t="shared" si="0"/>
        <v>A.12</v>
      </c>
      <c r="C46" t="str">
        <f t="shared" si="1"/>
        <v>PROVISION: TC 9617 (PREVIOUS MAGALLON)</v>
      </c>
      <c r="D46" s="14">
        <f t="shared" si="2"/>
        <v>82999.686000000002</v>
      </c>
      <c r="E46" s="16">
        <f t="shared" si="3"/>
        <v>82999.686000000002</v>
      </c>
      <c r="F46" s="16"/>
      <c r="G46" s="16"/>
      <c r="H46" s="16"/>
      <c r="I46" s="16"/>
      <c r="J46" s="16">
        <f t="shared" si="4"/>
        <v>82999.686000000002</v>
      </c>
    </row>
    <row r="47" spans="2:10">
      <c r="B47" t="str">
        <f t="shared" si="0"/>
        <v>A.13</v>
      </c>
      <c r="C47" t="str">
        <f t="shared" si="1"/>
        <v>QUINTANA,SILVIA</v>
      </c>
      <c r="D47" s="14">
        <f t="shared" si="2"/>
        <v>70845.125</v>
      </c>
      <c r="E47" s="16">
        <f t="shared" si="3"/>
        <v>70845.125</v>
      </c>
      <c r="F47" s="16"/>
      <c r="G47" s="16"/>
      <c r="H47" s="16"/>
      <c r="I47" s="16"/>
      <c r="J47" s="16">
        <f t="shared" si="4"/>
        <v>70845.125</v>
      </c>
    </row>
    <row r="48" spans="2:10">
      <c r="B48" t="str">
        <f t="shared" si="0"/>
        <v>A.14</v>
      </c>
      <c r="C48" t="str">
        <f t="shared" si="1"/>
        <v>SAMBRANO,EFRAIN R</v>
      </c>
      <c r="D48" s="14">
        <f t="shared" si="2"/>
        <v>75019.75</v>
      </c>
      <c r="E48" s="16">
        <f t="shared" si="3"/>
        <v>75019.75</v>
      </c>
      <c r="F48" s="16"/>
      <c r="G48" s="16"/>
      <c r="H48" s="16"/>
      <c r="I48" s="16"/>
      <c r="J48" s="16">
        <f t="shared" si="4"/>
        <v>75019.75</v>
      </c>
    </row>
    <row r="49" spans="2:10">
      <c r="B49" t="str">
        <f t="shared" si="0"/>
        <v>A.15</v>
      </c>
      <c r="C49" t="str">
        <f t="shared" si="1"/>
        <v>SEVERE,JENNA N</v>
      </c>
      <c r="D49" s="14">
        <f t="shared" si="2"/>
        <v>45672.25</v>
      </c>
      <c r="E49" s="16">
        <f t="shared" si="3"/>
        <v>45672.25</v>
      </c>
      <c r="F49" s="16"/>
      <c r="G49" s="16"/>
      <c r="H49" s="16"/>
      <c r="I49" s="16"/>
      <c r="J49" s="16">
        <f t="shared" si="4"/>
        <v>45672.25</v>
      </c>
    </row>
    <row r="50" spans="2:10">
      <c r="B50" t="str">
        <f t="shared" si="0"/>
        <v>A.16</v>
      </c>
      <c r="C50" t="str">
        <f t="shared" si="1"/>
        <v>SILVA,ARMANDO</v>
      </c>
      <c r="D50" s="14">
        <f t="shared" si="2"/>
        <v>107253.25</v>
      </c>
      <c r="E50" s="16">
        <f t="shared" si="3"/>
        <v>107253.25</v>
      </c>
      <c r="F50" s="16"/>
      <c r="G50" s="16"/>
      <c r="H50" s="16"/>
      <c r="I50" s="16"/>
      <c r="J50" s="16">
        <f t="shared" si="4"/>
        <v>107253.25</v>
      </c>
    </row>
    <row r="51" spans="2:10">
      <c r="B51" t="str">
        <f t="shared" si="0"/>
        <v>A.17</v>
      </c>
      <c r="C51" t="str">
        <f t="shared" si="1"/>
        <v>WILLS,STACEY C</v>
      </c>
      <c r="D51" s="14">
        <f t="shared" si="2"/>
        <v>70962.125</v>
      </c>
      <c r="E51" s="16">
        <f t="shared" si="3"/>
        <v>70962.125</v>
      </c>
      <c r="F51" s="16"/>
      <c r="G51" s="16"/>
      <c r="H51" s="16"/>
      <c r="I51" s="16"/>
      <c r="J51" s="16">
        <f t="shared" si="4"/>
        <v>70962.125</v>
      </c>
    </row>
    <row r="52" spans="2:10">
      <c r="B52" t="str">
        <f t="shared" si="0"/>
        <v>A.18</v>
      </c>
      <c r="C52" t="str">
        <f t="shared" si="1"/>
        <v>Contract Labor</v>
      </c>
      <c r="D52" s="14">
        <f t="shared" si="2"/>
        <v>100000</v>
      </c>
      <c r="E52" s="16"/>
      <c r="F52" s="16"/>
      <c r="G52" s="16"/>
      <c r="H52" s="16"/>
      <c r="I52" s="16"/>
      <c r="J52" s="16">
        <f t="shared" si="4"/>
        <v>0</v>
      </c>
    </row>
    <row r="53" spans="2:10">
      <c r="B53" t="str">
        <f t="shared" si="0"/>
        <v>A.19</v>
      </c>
      <c r="C53" t="str">
        <f t="shared" si="1"/>
        <v>Utilities</v>
      </c>
      <c r="D53" s="14">
        <f t="shared" si="2"/>
        <v>3000</v>
      </c>
      <c r="E53" s="16"/>
      <c r="F53" s="16"/>
      <c r="G53" s="16">
        <v>3000</v>
      </c>
      <c r="H53" s="16"/>
      <c r="I53" s="16"/>
      <c r="J53" s="16">
        <f t="shared" si="4"/>
        <v>3000</v>
      </c>
    </row>
    <row r="54" spans="2:10">
      <c r="B54" t="str">
        <f t="shared" si="0"/>
        <v>A.20</v>
      </c>
      <c r="C54" t="str">
        <f t="shared" si="1"/>
        <v>Fuel</v>
      </c>
      <c r="D54" s="14">
        <f t="shared" si="2"/>
        <v>20000</v>
      </c>
      <c r="E54" s="16"/>
      <c r="F54" s="16"/>
      <c r="G54" s="16"/>
      <c r="H54" s="16">
        <v>20000</v>
      </c>
      <c r="I54" s="16"/>
      <c r="J54" s="16">
        <f t="shared" si="4"/>
        <v>20000</v>
      </c>
    </row>
    <row r="55" spans="2:10">
      <c r="B55" t="str">
        <f t="shared" si="0"/>
        <v>A.21</v>
      </c>
      <c r="C55" t="str">
        <f t="shared" si="1"/>
        <v>Chemicals</v>
      </c>
      <c r="D55" s="14">
        <f t="shared" si="2"/>
        <v>10000</v>
      </c>
      <c r="E55" s="16"/>
      <c r="F55" s="16"/>
      <c r="G55" s="16"/>
      <c r="H55" s="16">
        <v>10000</v>
      </c>
      <c r="I55" s="16"/>
      <c r="J55" s="16">
        <f t="shared" si="4"/>
        <v>10000</v>
      </c>
    </row>
    <row r="56" spans="2:10">
      <c r="B56" t="str">
        <f t="shared" si="0"/>
        <v>A.22</v>
      </c>
      <c r="C56" t="str">
        <f t="shared" si="1"/>
        <v>Misc Supplies &amp; Expenses</v>
      </c>
      <c r="D56" s="14">
        <f t="shared" si="2"/>
        <v>4000</v>
      </c>
      <c r="E56" s="16"/>
      <c r="F56" s="16"/>
      <c r="G56" s="16"/>
      <c r="H56" s="16"/>
      <c r="I56" s="16">
        <v>40000</v>
      </c>
      <c r="J56" s="16">
        <f t="shared" si="4"/>
        <v>40000</v>
      </c>
    </row>
    <row r="57" spans="2:10">
      <c r="B57" t="str">
        <f t="shared" si="0"/>
        <v>A.23</v>
      </c>
      <c r="C57" t="str">
        <f t="shared" si="1"/>
        <v>Deferred Maintenance</v>
      </c>
      <c r="D57" s="14">
        <f t="shared" si="2"/>
        <v>40000</v>
      </c>
      <c r="E57" s="16"/>
      <c r="F57" s="16"/>
      <c r="G57" s="16"/>
      <c r="H57" s="16"/>
      <c r="I57" s="16"/>
      <c r="J57" s="16"/>
    </row>
    <row r="58" spans="2:10">
      <c r="B58" t="str">
        <f t="shared" si="0"/>
        <v>A.24</v>
      </c>
      <c r="C58" t="str">
        <f t="shared" si="1"/>
        <v>Equipment</v>
      </c>
      <c r="D58" s="14">
        <f t="shared" si="2"/>
        <v>50000</v>
      </c>
      <c r="E58" s="16"/>
      <c r="F58" s="16">
        <v>50000</v>
      </c>
      <c r="G58" s="16"/>
      <c r="H58" s="16"/>
      <c r="I58" s="16"/>
      <c r="J58" s="16">
        <f t="shared" si="4"/>
        <v>50000</v>
      </c>
    </row>
    <row r="59" spans="2:10">
      <c r="D59" s="14"/>
      <c r="E59" s="16"/>
      <c r="F59" s="16"/>
      <c r="G59" s="16"/>
      <c r="H59" s="16"/>
      <c r="I59" s="16"/>
      <c r="J59" s="16"/>
    </row>
    <row r="60" spans="2:10">
      <c r="C60" s="12" t="s">
        <v>117</v>
      </c>
      <c r="D60" s="17">
        <f t="shared" ref="D60:J60" si="5">SUM(D35:D58)</f>
        <v>1514393.0384494001</v>
      </c>
      <c r="E60" s="17">
        <f t="shared" si="5"/>
        <v>1287393.0384494001</v>
      </c>
      <c r="F60" s="17">
        <f t="shared" si="5"/>
        <v>50000</v>
      </c>
      <c r="G60" s="17">
        <f t="shared" si="5"/>
        <v>3000</v>
      </c>
      <c r="H60" s="17">
        <f t="shared" si="5"/>
        <v>30000</v>
      </c>
      <c r="I60" s="17">
        <f t="shared" si="5"/>
        <v>40000</v>
      </c>
      <c r="J60" s="17">
        <f t="shared" si="5"/>
        <v>1410393.0384494001</v>
      </c>
    </row>
  </sheetData>
  <mergeCells count="23">
    <mergeCell ref="F18:I18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25:I25"/>
    <mergeCell ref="F26:I26"/>
    <mergeCell ref="F27:I27"/>
    <mergeCell ref="F19:I19"/>
    <mergeCell ref="F20:I20"/>
    <mergeCell ref="F21:I21"/>
    <mergeCell ref="F22:I22"/>
    <mergeCell ref="F23:I23"/>
    <mergeCell ref="F24:I2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workbookViewId="0"/>
  </sheetViews>
  <sheetFormatPr defaultColWidth="9.140625" defaultRowHeight="12.75"/>
  <cols>
    <col min="1" max="1" width="15.42578125" style="45" customWidth="1"/>
    <col min="2" max="2" width="41.140625" style="41" customWidth="1"/>
    <col min="3" max="3" width="14.7109375" style="44" customWidth="1"/>
    <col min="4" max="4" width="24.5703125" style="41" customWidth="1"/>
    <col min="5" max="16384" width="9.140625" style="41"/>
  </cols>
  <sheetData>
    <row r="1" spans="1:7" ht="15.75">
      <c r="A1" s="40" t="s">
        <v>133</v>
      </c>
      <c r="B1" s="41" t="s">
        <v>134</v>
      </c>
      <c r="C1" s="42" t="s">
        <v>135</v>
      </c>
      <c r="D1" s="41" t="s">
        <v>136</v>
      </c>
    </row>
    <row r="2" spans="1:7" ht="15">
      <c r="A2" s="43"/>
    </row>
    <row r="3" spans="1:7" ht="15.75">
      <c r="G3" s="46" t="s">
        <v>137</v>
      </c>
    </row>
    <row r="5" spans="1:7" s="50" customFormat="1" ht="30.75" customHeight="1">
      <c r="A5" s="47" t="s">
        <v>138</v>
      </c>
      <c r="B5" s="48" t="s">
        <v>139</v>
      </c>
      <c r="C5" s="47" t="s">
        <v>140</v>
      </c>
      <c r="D5" s="49" t="s">
        <v>141</v>
      </c>
    </row>
    <row r="6" spans="1:7" ht="18" customHeight="1"/>
    <row r="7" spans="1:7" ht="18" customHeight="1">
      <c r="A7" s="51"/>
      <c r="B7" s="52"/>
      <c r="C7" s="257"/>
      <c r="D7" s="53"/>
    </row>
    <row r="8" spans="1:7" ht="18" customHeight="1">
      <c r="A8" s="54">
        <v>5200</v>
      </c>
      <c r="B8" s="55" t="s">
        <v>142</v>
      </c>
      <c r="C8" s="56">
        <v>8600</v>
      </c>
      <c r="D8" s="57"/>
    </row>
    <row r="9" spans="1:7" ht="18" customHeight="1">
      <c r="A9" s="54">
        <v>5224</v>
      </c>
      <c r="B9" s="55" t="s">
        <v>143</v>
      </c>
      <c r="C9" s="56">
        <v>11000</v>
      </c>
      <c r="D9" s="57"/>
      <c r="G9" s="280">
        <f>C9*69%</f>
        <v>7589.9999999999991</v>
      </c>
    </row>
    <row r="10" spans="1:7" ht="18" customHeight="1">
      <c r="A10" s="54">
        <v>8083</v>
      </c>
      <c r="B10" s="55" t="s">
        <v>144</v>
      </c>
      <c r="C10" s="56">
        <v>18000</v>
      </c>
      <c r="D10" s="57"/>
    </row>
    <row r="11" spans="1:7" ht="18" customHeight="1">
      <c r="A11" s="54">
        <v>8081</v>
      </c>
      <c r="B11" s="55" t="s">
        <v>145</v>
      </c>
      <c r="C11" s="56">
        <v>6000</v>
      </c>
      <c r="D11" s="57"/>
    </row>
    <row r="12" spans="1:7" ht="18" customHeight="1">
      <c r="A12" s="54">
        <v>8081</v>
      </c>
      <c r="B12" s="55" t="s">
        <v>146</v>
      </c>
      <c r="C12" s="56">
        <v>2000</v>
      </c>
      <c r="D12" s="57"/>
    </row>
    <row r="13" spans="1:7" ht="18" customHeight="1">
      <c r="A13" s="54">
        <v>8020</v>
      </c>
      <c r="B13" s="55" t="s">
        <v>147</v>
      </c>
      <c r="C13" s="56">
        <v>1500</v>
      </c>
      <c r="D13" s="57"/>
    </row>
    <row r="14" spans="1:7" ht="18" customHeight="1">
      <c r="A14" s="54">
        <v>8082</v>
      </c>
      <c r="B14" s="55" t="s">
        <v>148</v>
      </c>
      <c r="C14" s="56">
        <v>8000</v>
      </c>
      <c r="D14" s="57"/>
    </row>
    <row r="15" spans="1:7" ht="18" customHeight="1">
      <c r="A15" s="54"/>
      <c r="B15" s="55" t="s">
        <v>149</v>
      </c>
      <c r="C15" s="56">
        <v>2400</v>
      </c>
      <c r="D15" s="57"/>
    </row>
    <row r="16" spans="1:7" ht="18" customHeight="1">
      <c r="A16" s="54"/>
      <c r="B16" s="55" t="s">
        <v>128</v>
      </c>
      <c r="C16" s="56">
        <v>2500</v>
      </c>
      <c r="D16" s="58"/>
    </row>
    <row r="17" spans="1:3" ht="18" customHeight="1">
      <c r="C17" s="59"/>
    </row>
    <row r="18" spans="1:3" s="63" customFormat="1" ht="18" customHeight="1">
      <c r="A18" s="60" t="s">
        <v>150</v>
      </c>
      <c r="B18" s="61"/>
      <c r="C18" s="62">
        <f>SUM(C7:C16)</f>
        <v>60000</v>
      </c>
    </row>
    <row r="19" spans="1:3" ht="18" customHeight="1">
      <c r="C19" s="64"/>
    </row>
  </sheetData>
  <hyperlinks>
    <hyperlink ref="G3" r:id="rId1" location="budget" display="Need Help? Instuctions and Video Demonstration" xr:uid="{00000000-0004-0000-0700-000000000000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0"/>
  <sheetViews>
    <sheetView workbookViewId="0"/>
  </sheetViews>
  <sheetFormatPr defaultColWidth="11.42578125" defaultRowHeight="15"/>
  <cols>
    <col min="1" max="1" width="26.28515625" style="109" customWidth="1"/>
    <col min="2" max="2" width="13" customWidth="1"/>
    <col min="3" max="3" width="4.140625" customWidth="1"/>
    <col min="4" max="4" width="7.42578125" customWidth="1"/>
    <col min="5" max="5" width="5.85546875" customWidth="1"/>
    <col min="6" max="6" width="2" style="10" customWidth="1"/>
    <col min="7" max="7" width="9.5703125" customWidth="1"/>
    <col min="8" max="8" width="13" customWidth="1"/>
    <col min="9" max="9" width="10.7109375" customWidth="1"/>
    <col min="10" max="10" width="0.7109375" customWidth="1"/>
    <col min="11" max="11" width="9.7109375" customWidth="1"/>
    <col min="12" max="12" width="0.5703125" customWidth="1"/>
    <col min="13" max="13" width="11.7109375" customWidth="1"/>
    <col min="14" max="14" width="0.7109375" customWidth="1"/>
    <col min="15" max="15" width="12.5703125" customWidth="1"/>
    <col min="16" max="17" width="12.28515625" customWidth="1"/>
    <col min="18" max="18" width="13.5703125" customWidth="1"/>
    <col min="19" max="19" width="1.140625" customWidth="1"/>
    <col min="20" max="20" width="11.85546875" customWidth="1"/>
    <col min="21" max="21" width="11.42578125" style="4"/>
  </cols>
  <sheetData>
    <row r="1" spans="1:23">
      <c r="A1" s="66" t="s">
        <v>130</v>
      </c>
      <c r="B1" s="67"/>
      <c r="C1" s="67"/>
      <c r="D1" s="67"/>
      <c r="E1" s="67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3" ht="14.25" customHeight="1">
      <c r="A2" s="70"/>
      <c r="B2" s="39"/>
      <c r="C2" s="39"/>
      <c r="D2" s="39"/>
      <c r="E2" s="39"/>
      <c r="F2" s="71"/>
      <c r="T2" s="46" t="s">
        <v>137</v>
      </c>
    </row>
    <row r="3" spans="1:23" ht="20.100000000000001" customHeight="1">
      <c r="A3" s="665" t="s">
        <v>153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U3" s="25"/>
    </row>
    <row r="4" spans="1:23" ht="20.100000000000001" customHeight="1">
      <c r="A4" s="72" t="s">
        <v>154</v>
      </c>
      <c r="B4" s="73"/>
      <c r="C4" s="73"/>
      <c r="D4" s="73"/>
      <c r="E4" s="73"/>
      <c r="F4" s="7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23" ht="15.75">
      <c r="A5" s="76" t="s">
        <v>155</v>
      </c>
      <c r="B5" s="77"/>
      <c r="C5" s="77"/>
      <c r="D5" s="77"/>
      <c r="E5" s="77"/>
      <c r="F5" s="78"/>
      <c r="G5" s="79"/>
      <c r="H5" s="79"/>
      <c r="I5" s="79"/>
      <c r="J5" s="69"/>
      <c r="K5" s="69"/>
      <c r="L5" s="69"/>
      <c r="M5" s="69"/>
      <c r="N5" s="69"/>
      <c r="O5" s="69"/>
      <c r="P5" s="69"/>
      <c r="Q5" s="69"/>
      <c r="R5" s="69"/>
    </row>
    <row r="6" spans="1:23">
      <c r="A6" s="80"/>
      <c r="B6" s="81"/>
      <c r="C6" s="82"/>
      <c r="D6" s="83"/>
      <c r="E6" s="83"/>
      <c r="F6" s="83"/>
      <c r="G6" s="83"/>
      <c r="H6" s="83"/>
      <c r="I6" s="84"/>
      <c r="J6" s="84"/>
      <c r="K6" s="84" t="s">
        <v>156</v>
      </c>
      <c r="L6" s="84"/>
      <c r="M6" s="85" t="s">
        <v>157</v>
      </c>
      <c r="N6" s="84"/>
      <c r="O6" s="85" t="s">
        <v>158</v>
      </c>
      <c r="P6" s="85" t="s">
        <v>158</v>
      </c>
      <c r="Q6" s="85" t="s">
        <v>159</v>
      </c>
      <c r="S6" s="86"/>
      <c r="U6" s="87"/>
      <c r="V6" s="86"/>
      <c r="W6" s="86"/>
    </row>
    <row r="7" spans="1:23">
      <c r="A7" s="88" t="s">
        <v>160</v>
      </c>
      <c r="B7" s="86"/>
      <c r="C7" s="82"/>
      <c r="D7" s="83"/>
      <c r="E7" s="83"/>
      <c r="F7" s="83"/>
      <c r="G7" s="83"/>
      <c r="H7" s="83"/>
      <c r="I7" s="85" t="s">
        <v>161</v>
      </c>
      <c r="J7" s="84"/>
      <c r="K7" s="85" t="s">
        <v>157</v>
      </c>
      <c r="L7" s="84"/>
      <c r="M7" s="85" t="s">
        <v>100</v>
      </c>
      <c r="N7" s="84"/>
      <c r="O7" s="85" t="s">
        <v>162</v>
      </c>
      <c r="P7" s="85" t="s">
        <v>162</v>
      </c>
      <c r="Q7" s="85" t="s">
        <v>163</v>
      </c>
      <c r="R7" s="85" t="s">
        <v>164</v>
      </c>
      <c r="S7" s="86"/>
      <c r="U7" s="87"/>
      <c r="V7" s="86"/>
      <c r="W7" s="86"/>
    </row>
    <row r="8" spans="1:23" ht="20.100000000000001" customHeight="1">
      <c r="A8" s="89" t="s">
        <v>165</v>
      </c>
      <c r="B8" s="86"/>
      <c r="C8" s="82"/>
      <c r="D8" s="83"/>
      <c r="E8" s="90" t="s">
        <v>166</v>
      </c>
      <c r="F8" s="83"/>
      <c r="G8" s="90" t="s">
        <v>161</v>
      </c>
      <c r="H8" s="83"/>
      <c r="I8" s="83"/>
      <c r="J8" s="86"/>
      <c r="K8" s="85" t="s">
        <v>167</v>
      </c>
      <c r="L8" s="86"/>
      <c r="M8" s="86"/>
      <c r="N8" s="86"/>
      <c r="O8" s="85" t="s">
        <v>166</v>
      </c>
      <c r="P8" s="85" t="s">
        <v>168</v>
      </c>
      <c r="Q8" s="85" t="s">
        <v>162</v>
      </c>
      <c r="R8" s="85" t="s">
        <v>100</v>
      </c>
      <c r="S8" s="86"/>
      <c r="U8" s="87"/>
      <c r="V8" s="86"/>
      <c r="W8" s="86"/>
    </row>
    <row r="9" spans="1:23" ht="19.5" customHeight="1">
      <c r="A9" s="88" t="s">
        <v>169</v>
      </c>
      <c r="B9" s="81"/>
      <c r="C9" s="91">
        <v>12</v>
      </c>
      <c r="D9" s="92" t="s">
        <v>170</v>
      </c>
      <c r="E9" s="93">
        <v>0.52</v>
      </c>
      <c r="F9" s="92" t="s">
        <v>171</v>
      </c>
      <c r="G9" s="94">
        <v>5188.59</v>
      </c>
      <c r="H9" s="95" t="s">
        <v>172</v>
      </c>
      <c r="I9" s="65">
        <f>ROUND(C9*E9*G9,0)</f>
        <v>32377</v>
      </c>
      <c r="J9" s="86"/>
      <c r="K9" s="96">
        <v>0.52400000000000002</v>
      </c>
      <c r="M9" s="97">
        <f>ROUND(I9*K9,0)</f>
        <v>16966</v>
      </c>
      <c r="N9" s="98"/>
      <c r="O9" s="99">
        <v>7.3999999999999996E-2</v>
      </c>
      <c r="P9" s="65">
        <f>O9*I9</f>
        <v>2395.8979999999997</v>
      </c>
      <c r="Q9" s="65">
        <f>K9*P9</f>
        <v>1255.4505519999998</v>
      </c>
      <c r="R9" s="97">
        <f>+Q9+P9+M9+I9</f>
        <v>52994.348551999996</v>
      </c>
      <c r="S9" s="86"/>
      <c r="T9" s="86"/>
      <c r="U9" s="87">
        <f t="shared" ref="U9:U19" si="0">C9*E9/12</f>
        <v>0.52</v>
      </c>
      <c r="V9" s="86"/>
      <c r="W9" s="86"/>
    </row>
    <row r="10" spans="1:23" ht="30" customHeight="1">
      <c r="A10" s="100" t="s">
        <v>173</v>
      </c>
      <c r="B10" s="81"/>
      <c r="C10" s="91">
        <v>3</v>
      </c>
      <c r="D10" s="92" t="s">
        <v>170</v>
      </c>
      <c r="E10" s="93">
        <v>1</v>
      </c>
      <c r="F10" s="92" t="s">
        <v>171</v>
      </c>
      <c r="G10" s="101">
        <v>3984.12</v>
      </c>
      <c r="H10" s="95" t="s">
        <v>172</v>
      </c>
      <c r="I10" s="65">
        <f t="shared" ref="I10:I19" si="1">ROUND(C10*E10*G10,0)</f>
        <v>11952</v>
      </c>
      <c r="J10" s="86"/>
      <c r="K10" s="96">
        <v>0.626</v>
      </c>
      <c r="M10" s="97">
        <f t="shared" ref="M10:M19" si="2">ROUND(I10*K10,0)</f>
        <v>7482</v>
      </c>
      <c r="N10" s="98"/>
      <c r="O10" s="99">
        <v>0.06</v>
      </c>
      <c r="P10" s="65">
        <f t="shared" ref="P10:P19" si="3">O10*I10</f>
        <v>717.12</v>
      </c>
      <c r="Q10" s="65">
        <f t="shared" ref="Q10:Q19" si="4">K10*P10</f>
        <v>448.91712000000001</v>
      </c>
      <c r="R10" s="97">
        <f t="shared" ref="R10:R19" si="5">+Q10+P10+M10+I10</f>
        <v>20600.037120000001</v>
      </c>
      <c r="T10" s="86"/>
      <c r="U10" s="87">
        <f t="shared" si="0"/>
        <v>0.25</v>
      </c>
      <c r="V10" s="86"/>
      <c r="W10" s="86"/>
    </row>
    <row r="11" spans="1:23" ht="19.5" customHeight="1">
      <c r="A11" s="88" t="s">
        <v>174</v>
      </c>
      <c r="B11" s="81"/>
      <c r="C11" s="91">
        <v>9</v>
      </c>
      <c r="D11" s="92" t="s">
        <v>170</v>
      </c>
      <c r="E11" s="93">
        <v>1</v>
      </c>
      <c r="F11" s="92" t="s">
        <v>171</v>
      </c>
      <c r="G11" s="94">
        <v>4103.5200000000004</v>
      </c>
      <c r="H11" s="95" t="s">
        <v>172</v>
      </c>
      <c r="I11" s="65">
        <f t="shared" si="1"/>
        <v>36932</v>
      </c>
      <c r="J11" s="86"/>
      <c r="K11" s="96">
        <v>0.626</v>
      </c>
      <c r="M11" s="97">
        <f t="shared" si="2"/>
        <v>23119</v>
      </c>
      <c r="N11" s="98"/>
      <c r="O11" s="99">
        <v>0.06</v>
      </c>
      <c r="P11" s="65">
        <f t="shared" si="3"/>
        <v>2215.92</v>
      </c>
      <c r="Q11" s="65">
        <f t="shared" si="4"/>
        <v>1387.1659200000001</v>
      </c>
      <c r="R11" s="97">
        <f t="shared" si="5"/>
        <v>63654.085919999998</v>
      </c>
      <c r="T11" s="86"/>
      <c r="U11" s="87">
        <f t="shared" si="0"/>
        <v>0.75</v>
      </c>
      <c r="V11" s="86"/>
      <c r="W11" s="86"/>
    </row>
    <row r="12" spans="1:23" ht="19.5" customHeight="1">
      <c r="A12" s="88" t="s">
        <v>175</v>
      </c>
      <c r="B12" s="81"/>
      <c r="C12" s="91">
        <v>3</v>
      </c>
      <c r="D12" s="92" t="s">
        <v>170</v>
      </c>
      <c r="E12" s="93">
        <v>1</v>
      </c>
      <c r="F12" s="92" t="s">
        <v>171</v>
      </c>
      <c r="G12" s="94">
        <v>4336.08</v>
      </c>
      <c r="H12" s="95" t="s">
        <v>172</v>
      </c>
      <c r="I12" s="65">
        <f t="shared" si="1"/>
        <v>13008</v>
      </c>
      <c r="J12" s="86"/>
      <c r="K12" s="96">
        <v>0.52400000000000002</v>
      </c>
      <c r="M12" s="97">
        <f t="shared" si="2"/>
        <v>6816</v>
      </c>
      <c r="N12" s="98"/>
      <c r="O12" s="99">
        <v>8.5000000000000006E-2</v>
      </c>
      <c r="P12" s="65">
        <f t="shared" si="3"/>
        <v>1105.68</v>
      </c>
      <c r="Q12" s="65">
        <f t="shared" si="4"/>
        <v>579.37632000000008</v>
      </c>
      <c r="R12" s="97">
        <f t="shared" si="5"/>
        <v>21509.05632</v>
      </c>
      <c r="T12" s="86"/>
      <c r="U12" s="87">
        <f t="shared" si="0"/>
        <v>0.25</v>
      </c>
      <c r="V12" s="86"/>
      <c r="W12" s="86"/>
    </row>
    <row r="13" spans="1:23" ht="19.5" customHeight="1">
      <c r="A13" s="102" t="s">
        <v>176</v>
      </c>
      <c r="B13" s="81"/>
      <c r="C13" s="91">
        <v>9</v>
      </c>
      <c r="D13" s="92" t="s">
        <v>170</v>
      </c>
      <c r="E13" s="93">
        <v>1</v>
      </c>
      <c r="F13" s="92" t="s">
        <v>171</v>
      </c>
      <c r="G13" s="94">
        <v>4466</v>
      </c>
      <c r="H13" s="95" t="s">
        <v>172</v>
      </c>
      <c r="I13" s="65">
        <f t="shared" si="1"/>
        <v>40194</v>
      </c>
      <c r="J13" s="86"/>
      <c r="K13" s="96">
        <v>0.52400000000000002</v>
      </c>
      <c r="M13" s="97">
        <f t="shared" si="2"/>
        <v>21062</v>
      </c>
      <c r="N13" s="98"/>
      <c r="O13" s="99">
        <v>8.5000000000000006E-2</v>
      </c>
      <c r="P13" s="65">
        <f t="shared" si="3"/>
        <v>3416.4900000000002</v>
      </c>
      <c r="Q13" s="65">
        <f t="shared" si="4"/>
        <v>1790.2407600000001</v>
      </c>
      <c r="R13" s="97">
        <f t="shared" si="5"/>
        <v>66462.730760000006</v>
      </c>
      <c r="T13" s="86"/>
      <c r="U13" s="87">
        <f t="shared" si="0"/>
        <v>0.75</v>
      </c>
      <c r="V13" s="86"/>
      <c r="W13" s="86"/>
    </row>
    <row r="14" spans="1:23" ht="19.5" customHeight="1">
      <c r="A14" s="88" t="s">
        <v>177</v>
      </c>
      <c r="B14" s="81"/>
      <c r="C14" s="91">
        <v>3</v>
      </c>
      <c r="D14" s="92" t="s">
        <v>170</v>
      </c>
      <c r="E14" s="93">
        <v>1</v>
      </c>
      <c r="F14" s="92" t="s">
        <v>171</v>
      </c>
      <c r="G14" s="94">
        <v>3847.14</v>
      </c>
      <c r="H14" s="95" t="s">
        <v>172</v>
      </c>
      <c r="I14" s="65">
        <f t="shared" si="1"/>
        <v>11541</v>
      </c>
      <c r="J14" s="86"/>
      <c r="K14" s="96">
        <v>0.626</v>
      </c>
      <c r="M14" s="97">
        <f t="shared" si="2"/>
        <v>7225</v>
      </c>
      <c r="N14" s="98"/>
      <c r="O14" s="99">
        <v>9.5000000000000001E-2</v>
      </c>
      <c r="P14" s="65">
        <f t="shared" si="3"/>
        <v>1096.395</v>
      </c>
      <c r="Q14" s="65">
        <f t="shared" si="4"/>
        <v>686.34326999999996</v>
      </c>
      <c r="R14" s="97">
        <f t="shared" si="5"/>
        <v>20548.738270000002</v>
      </c>
      <c r="T14" s="86"/>
      <c r="U14" s="87">
        <f t="shared" si="0"/>
        <v>0.25</v>
      </c>
      <c r="V14" s="86"/>
      <c r="W14" s="86"/>
    </row>
    <row r="15" spans="1:23" ht="19.5" customHeight="1">
      <c r="A15" s="103" t="s">
        <v>178</v>
      </c>
      <c r="B15" s="81"/>
      <c r="C15" s="91">
        <v>9</v>
      </c>
      <c r="D15" s="92" t="s">
        <v>170</v>
      </c>
      <c r="E15" s="93">
        <v>1</v>
      </c>
      <c r="F15" s="92" t="s">
        <v>171</v>
      </c>
      <c r="G15" s="101">
        <v>3962.56</v>
      </c>
      <c r="H15" s="95" t="s">
        <v>172</v>
      </c>
      <c r="I15" s="65">
        <f t="shared" si="1"/>
        <v>35663</v>
      </c>
      <c r="J15" s="86"/>
      <c r="K15" s="96">
        <v>0.626</v>
      </c>
      <c r="M15" s="97">
        <f t="shared" si="2"/>
        <v>22325</v>
      </c>
      <c r="N15" s="98"/>
      <c r="O15" s="99">
        <v>9.5000000000000001E-2</v>
      </c>
      <c r="P15" s="65">
        <f t="shared" si="3"/>
        <v>3387.9850000000001</v>
      </c>
      <c r="Q15" s="65">
        <f t="shared" si="4"/>
        <v>2120.8786100000002</v>
      </c>
      <c r="R15" s="97">
        <f t="shared" si="5"/>
        <v>63496.86361</v>
      </c>
      <c r="T15" s="86"/>
      <c r="U15" s="87">
        <f t="shared" si="0"/>
        <v>0.75</v>
      </c>
      <c r="V15" s="86"/>
      <c r="W15" s="86"/>
    </row>
    <row r="16" spans="1:23" ht="19.5" customHeight="1">
      <c r="A16" s="103" t="s">
        <v>334</v>
      </c>
      <c r="B16" s="81"/>
      <c r="C16" s="91">
        <v>3</v>
      </c>
      <c r="D16" s="92" t="s">
        <v>170</v>
      </c>
      <c r="E16" s="93">
        <v>0.3</v>
      </c>
      <c r="F16" s="92"/>
      <c r="G16" s="101">
        <v>5500</v>
      </c>
      <c r="H16" s="95" t="s">
        <v>172</v>
      </c>
      <c r="I16" s="65">
        <f t="shared" si="1"/>
        <v>4950</v>
      </c>
      <c r="J16" s="86"/>
      <c r="K16" s="96">
        <v>0.626</v>
      </c>
      <c r="M16" s="97">
        <f t="shared" si="2"/>
        <v>3099</v>
      </c>
      <c r="N16" s="98"/>
      <c r="O16" s="99">
        <v>0.06</v>
      </c>
      <c r="P16" s="65">
        <f t="shared" si="3"/>
        <v>297</v>
      </c>
      <c r="Q16" s="65">
        <f t="shared" si="4"/>
        <v>185.922</v>
      </c>
      <c r="R16" s="97">
        <f t="shared" si="5"/>
        <v>8531.9220000000005</v>
      </c>
      <c r="T16" s="86"/>
      <c r="U16" s="87">
        <f t="shared" si="0"/>
        <v>7.4999999999999997E-2</v>
      </c>
      <c r="V16" s="86"/>
      <c r="W16" s="86"/>
    </row>
    <row r="17" spans="1:23" ht="19.5" customHeight="1">
      <c r="A17" s="103" t="s">
        <v>335</v>
      </c>
      <c r="B17" s="81"/>
      <c r="C17" s="91">
        <v>9</v>
      </c>
      <c r="D17" s="92" t="s">
        <v>170</v>
      </c>
      <c r="E17" s="93">
        <v>0.3</v>
      </c>
      <c r="F17" s="92"/>
      <c r="G17" s="101">
        <v>5665</v>
      </c>
      <c r="H17" s="95" t="s">
        <v>172</v>
      </c>
      <c r="I17" s="65">
        <f t="shared" si="1"/>
        <v>15296</v>
      </c>
      <c r="J17" s="86"/>
      <c r="K17" s="96">
        <v>0.626</v>
      </c>
      <c r="M17" s="97">
        <f t="shared" si="2"/>
        <v>9575</v>
      </c>
      <c r="N17" s="98"/>
      <c r="O17" s="99">
        <v>0.06</v>
      </c>
      <c r="P17" s="65">
        <f t="shared" si="3"/>
        <v>917.76</v>
      </c>
      <c r="Q17" s="65">
        <f t="shared" si="4"/>
        <v>574.51775999999995</v>
      </c>
      <c r="R17" s="97">
        <f t="shared" si="5"/>
        <v>26363.277760000001</v>
      </c>
      <c r="T17" s="86"/>
      <c r="U17" s="87">
        <f t="shared" si="0"/>
        <v>0.22499999999999998</v>
      </c>
      <c r="V17" s="86"/>
      <c r="W17" s="86"/>
    </row>
    <row r="18" spans="1:23" ht="19.5" customHeight="1">
      <c r="A18" s="88" t="s">
        <v>179</v>
      </c>
      <c r="B18" s="81"/>
      <c r="C18" s="91">
        <v>3</v>
      </c>
      <c r="D18" s="92" t="s">
        <v>170</v>
      </c>
      <c r="E18" s="93">
        <v>1</v>
      </c>
      <c r="F18" s="92" t="s">
        <v>171</v>
      </c>
      <c r="G18" s="94">
        <v>2973.66</v>
      </c>
      <c r="H18" s="95" t="s">
        <v>172</v>
      </c>
      <c r="I18" s="65">
        <f t="shared" si="1"/>
        <v>8921</v>
      </c>
      <c r="J18" s="86"/>
      <c r="K18" s="96">
        <v>0.626</v>
      </c>
      <c r="M18" s="97">
        <f t="shared" si="2"/>
        <v>5585</v>
      </c>
      <c r="N18" s="98"/>
      <c r="O18" s="99">
        <v>0.06</v>
      </c>
      <c r="P18" s="65">
        <f t="shared" si="3"/>
        <v>535.26</v>
      </c>
      <c r="Q18" s="65">
        <f t="shared" si="4"/>
        <v>335.07276000000002</v>
      </c>
      <c r="R18" s="97">
        <f t="shared" si="5"/>
        <v>15376.332760000001</v>
      </c>
      <c r="T18" s="86"/>
      <c r="U18" s="87">
        <f t="shared" si="0"/>
        <v>0.25</v>
      </c>
      <c r="V18" s="86"/>
      <c r="W18" s="86"/>
    </row>
    <row r="19" spans="1:23" ht="19.5" customHeight="1">
      <c r="A19" s="102" t="s">
        <v>180</v>
      </c>
      <c r="B19" s="81"/>
      <c r="C19" s="91">
        <v>9</v>
      </c>
      <c r="D19" s="92" t="s">
        <v>170</v>
      </c>
      <c r="E19" s="93">
        <v>1</v>
      </c>
      <c r="F19" s="92" t="s">
        <v>171</v>
      </c>
      <c r="G19" s="94">
        <v>3062.87</v>
      </c>
      <c r="H19" s="95" t="s">
        <v>172</v>
      </c>
      <c r="I19" s="65">
        <f t="shared" si="1"/>
        <v>27566</v>
      </c>
      <c r="J19" s="86"/>
      <c r="K19" s="96">
        <v>0.626</v>
      </c>
      <c r="M19" s="97">
        <f t="shared" si="2"/>
        <v>17256</v>
      </c>
      <c r="N19" s="98"/>
      <c r="O19" s="99">
        <v>0.06</v>
      </c>
      <c r="P19" s="65">
        <f t="shared" si="3"/>
        <v>1653.96</v>
      </c>
      <c r="Q19" s="65">
        <f t="shared" si="4"/>
        <v>1035.37896</v>
      </c>
      <c r="R19" s="97">
        <f t="shared" si="5"/>
        <v>47511.338960000001</v>
      </c>
      <c r="T19" s="86"/>
      <c r="U19" s="87">
        <f t="shared" si="0"/>
        <v>0.75</v>
      </c>
      <c r="V19" s="86"/>
      <c r="W19" s="86"/>
    </row>
    <row r="20" spans="1:23" ht="22.5" customHeight="1">
      <c r="A20" s="104"/>
      <c r="B20" s="86"/>
      <c r="V20" s="86"/>
      <c r="W20" s="86"/>
    </row>
    <row r="21" spans="1:23" ht="20.100000000000001" customHeight="1">
      <c r="A21" s="80"/>
      <c r="B21" s="86"/>
      <c r="C21" s="82"/>
      <c r="D21" s="92"/>
      <c r="E21" s="105"/>
      <c r="F21" s="92"/>
      <c r="G21" s="106"/>
      <c r="H21" s="95"/>
      <c r="I21" s="98"/>
      <c r="J21" s="86"/>
      <c r="K21" s="107"/>
      <c r="M21" s="98"/>
      <c r="N21" s="98"/>
      <c r="O21" s="98"/>
      <c r="P21" s="98"/>
      <c r="Q21" s="98"/>
      <c r="R21" s="98"/>
      <c r="T21" s="86"/>
      <c r="U21" s="4">
        <f>SUM(U9:U20)</f>
        <v>4.82</v>
      </c>
      <c r="V21" s="86"/>
      <c r="W21" s="86"/>
    </row>
    <row r="22" spans="1:23">
      <c r="A22" s="88" t="s">
        <v>181</v>
      </c>
      <c r="B22" s="81"/>
      <c r="C22" s="82"/>
      <c r="D22" s="92"/>
      <c r="E22" s="105"/>
      <c r="F22" s="92"/>
      <c r="G22" s="106"/>
      <c r="H22" s="95"/>
      <c r="I22" s="65">
        <f>SUM(I9:I21)</f>
        <v>238400</v>
      </c>
      <c r="J22" s="86"/>
      <c r="K22" s="107"/>
      <c r="M22" s="65">
        <f>SUM(M9:M21)</f>
        <v>140510</v>
      </c>
      <c r="N22" s="98"/>
      <c r="O22" s="98"/>
      <c r="P22" s="65">
        <f>SUM(P9:P21)</f>
        <v>17739.468000000001</v>
      </c>
      <c r="Q22" s="65">
        <f>SUM(Q9:Q21)</f>
        <v>10399.264032000001</v>
      </c>
      <c r="R22" s="65">
        <f>SUM(R9:R21)</f>
        <v>407048.73203200009</v>
      </c>
      <c r="T22" s="108"/>
      <c r="U22" s="87"/>
      <c r="V22" s="86"/>
      <c r="W22" s="86"/>
    </row>
    <row r="23" spans="1:23">
      <c r="A23" s="88" t="s">
        <v>57</v>
      </c>
      <c r="B23" s="86"/>
      <c r="C23" s="82"/>
      <c r="D23" s="92"/>
      <c r="E23" s="92"/>
      <c r="F23" s="92"/>
      <c r="G23" s="92"/>
      <c r="H23" s="92"/>
      <c r="I23" s="98"/>
      <c r="J23" s="86"/>
      <c r="K23" s="86"/>
      <c r="L23" s="86"/>
      <c r="M23" s="98"/>
      <c r="N23" s="98"/>
      <c r="O23" s="98"/>
      <c r="P23" s="98"/>
      <c r="Q23" s="98"/>
      <c r="R23" s="98"/>
      <c r="S23" s="86"/>
      <c r="T23" s="86"/>
      <c r="U23" s="87"/>
      <c r="V23" s="86"/>
      <c r="W23" s="86"/>
    </row>
    <row r="24" spans="1:23">
      <c r="A24" s="109" t="s">
        <v>182</v>
      </c>
      <c r="B24" s="81"/>
      <c r="C24" s="82"/>
      <c r="D24" s="83"/>
      <c r="E24" s="83"/>
      <c r="F24" s="83"/>
      <c r="G24" s="83"/>
      <c r="H24" s="83"/>
      <c r="J24" s="86"/>
      <c r="K24" s="86"/>
      <c r="L24" s="86"/>
      <c r="M24" s="98"/>
      <c r="N24" s="98"/>
      <c r="O24" s="98"/>
      <c r="P24" s="98"/>
      <c r="Q24" s="98"/>
      <c r="R24" s="110">
        <v>0</v>
      </c>
      <c r="S24" s="86"/>
      <c r="T24" s="86"/>
      <c r="U24" s="87"/>
      <c r="V24" s="86"/>
      <c r="W24" s="86"/>
    </row>
    <row r="25" spans="1:23">
      <c r="A25" s="80"/>
      <c r="B25" s="81"/>
      <c r="C25" s="82"/>
      <c r="D25" s="83"/>
      <c r="E25" s="83"/>
      <c r="F25" s="83"/>
      <c r="G25" s="83"/>
      <c r="H25" s="83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86"/>
      <c r="W25" s="86"/>
    </row>
    <row r="26" spans="1:23">
      <c r="A26" s="88" t="s">
        <v>183</v>
      </c>
      <c r="B26" s="80"/>
      <c r="C26" s="111"/>
      <c r="D26" s="112"/>
      <c r="E26" s="112"/>
      <c r="F26" s="112"/>
      <c r="G26" s="112"/>
      <c r="H26" s="112"/>
      <c r="J26" s="113"/>
      <c r="K26" s="113"/>
      <c r="L26" s="113"/>
      <c r="M26" s="98"/>
      <c r="N26" s="113"/>
      <c r="O26" s="113"/>
      <c r="P26" s="113"/>
      <c r="Q26" s="113"/>
      <c r="S26" s="113"/>
      <c r="T26" s="113"/>
      <c r="U26" s="114"/>
      <c r="V26" s="113"/>
      <c r="W26" s="113"/>
    </row>
    <row r="27" spans="1:23">
      <c r="A27" s="80" t="s">
        <v>184</v>
      </c>
      <c r="B27" s="80"/>
      <c r="C27" s="111"/>
      <c r="D27" s="112"/>
      <c r="E27" s="112"/>
      <c r="F27" s="112"/>
      <c r="G27" s="112"/>
      <c r="H27" s="112"/>
      <c r="J27" s="113"/>
      <c r="K27" s="113"/>
      <c r="L27" s="113"/>
      <c r="M27" s="113"/>
      <c r="N27" s="113"/>
      <c r="O27" s="113"/>
      <c r="P27" s="113"/>
      <c r="Q27" s="113"/>
      <c r="R27" s="115"/>
      <c r="S27" s="113"/>
      <c r="T27" s="113"/>
      <c r="U27" s="114"/>
      <c r="V27" s="113"/>
      <c r="W27" s="113"/>
    </row>
    <row r="28" spans="1:23">
      <c r="A28" s="80"/>
      <c r="B28" s="80"/>
      <c r="C28" s="111"/>
      <c r="D28" s="112"/>
      <c r="E28" s="112"/>
      <c r="F28" s="112"/>
      <c r="G28" s="112"/>
      <c r="H28" s="112"/>
      <c r="J28" s="113"/>
      <c r="K28" s="113"/>
      <c r="L28" s="113"/>
      <c r="M28" s="113"/>
      <c r="N28" s="113"/>
      <c r="O28" s="113"/>
      <c r="P28" s="113"/>
      <c r="Q28" s="113"/>
      <c r="R28" s="116"/>
      <c r="S28" s="113"/>
      <c r="T28" s="113"/>
    </row>
    <row r="29" spans="1:23">
      <c r="A29" s="88" t="s">
        <v>185</v>
      </c>
      <c r="B29" s="80"/>
      <c r="C29" s="111"/>
      <c r="D29" s="112"/>
      <c r="E29" s="112"/>
      <c r="F29" s="112"/>
      <c r="G29" s="112"/>
      <c r="H29" s="112"/>
      <c r="J29" s="113"/>
      <c r="K29" s="113"/>
      <c r="L29" s="113"/>
      <c r="M29" s="113"/>
      <c r="N29" s="113"/>
      <c r="O29" s="113"/>
      <c r="P29" s="113"/>
      <c r="Q29" s="113"/>
      <c r="R29" s="117"/>
      <c r="S29" s="113"/>
      <c r="T29" s="113"/>
    </row>
    <row r="30" spans="1:23">
      <c r="A30" s="80" t="s">
        <v>186</v>
      </c>
      <c r="B30" s="109" t="s">
        <v>187</v>
      </c>
      <c r="C30" s="111"/>
      <c r="D30" s="112"/>
      <c r="E30" s="112"/>
      <c r="F30" s="112"/>
      <c r="G30" s="112"/>
      <c r="H30" s="112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1:23">
      <c r="A31" s="118"/>
      <c r="B31" s="80"/>
      <c r="C31" s="111"/>
      <c r="D31" s="112"/>
      <c r="E31" s="112"/>
      <c r="F31" s="112"/>
      <c r="G31" s="112"/>
      <c r="H31" s="112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</row>
    <row r="32" spans="1:23">
      <c r="A32" s="88" t="s">
        <v>188</v>
      </c>
      <c r="B32" s="86"/>
      <c r="C32" s="82"/>
      <c r="D32" s="83"/>
      <c r="E32" s="83"/>
      <c r="F32" s="83"/>
      <c r="G32" s="83"/>
      <c r="H32" s="83"/>
      <c r="J32" s="86"/>
      <c r="K32" s="86"/>
      <c r="L32" s="86"/>
      <c r="M32" s="86"/>
      <c r="N32" s="86"/>
      <c r="O32" s="86"/>
      <c r="P32" s="86"/>
      <c r="Q32" s="86"/>
      <c r="R32" s="119">
        <f>SUM(R22:R29)</f>
        <v>407048.73203200009</v>
      </c>
      <c r="S32" s="86"/>
      <c r="T32" s="86"/>
    </row>
    <row r="33" spans="1:23">
      <c r="A33" s="88" t="s">
        <v>189</v>
      </c>
      <c r="B33" s="86"/>
      <c r="C33" s="82"/>
      <c r="D33" s="86" t="s">
        <v>190</v>
      </c>
      <c r="E33" s="83"/>
      <c r="F33" s="83"/>
      <c r="G33" s="83"/>
      <c r="H33" s="83"/>
      <c r="I33" s="120">
        <f>U21</f>
        <v>4.82</v>
      </c>
      <c r="J33" s="86"/>
      <c r="K33" s="86"/>
      <c r="L33" s="86"/>
      <c r="N33" s="86"/>
      <c r="O33" s="86"/>
      <c r="P33" s="86"/>
      <c r="Q33" s="86"/>
      <c r="R33" s="86"/>
      <c r="S33" s="86"/>
      <c r="V33" s="86"/>
      <c r="W33" s="86"/>
    </row>
    <row r="34" spans="1:23" ht="9" customHeight="1">
      <c r="A34" s="88"/>
      <c r="B34" s="86"/>
      <c r="C34" s="82"/>
      <c r="D34" s="86"/>
      <c r="E34" s="83"/>
      <c r="F34" s="83"/>
      <c r="G34" s="83"/>
      <c r="H34" s="83"/>
      <c r="I34" s="83"/>
      <c r="J34" s="86"/>
      <c r="K34" s="86"/>
      <c r="L34" s="86"/>
      <c r="N34" s="86"/>
      <c r="O34" s="86"/>
      <c r="P34" s="86"/>
      <c r="Q34" s="86"/>
      <c r="R34" s="86"/>
      <c r="S34" s="86"/>
      <c r="T34" s="86"/>
      <c r="U34" s="87"/>
      <c r="V34" s="86"/>
      <c r="W34" s="86"/>
    </row>
    <row r="35" spans="1:23">
      <c r="A35" s="88"/>
      <c r="B35" s="86"/>
      <c r="C35" s="82"/>
      <c r="D35" s="121" t="s">
        <v>191</v>
      </c>
      <c r="E35" s="83"/>
      <c r="F35" s="83"/>
      <c r="G35" s="83"/>
      <c r="H35" s="83"/>
      <c r="I35" s="122" t="e">
        <v>#NAME?</v>
      </c>
      <c r="J35" s="86"/>
      <c r="L35" s="86"/>
      <c r="M35" s="122" t="e">
        <f>I33*I35</f>
        <v>#NAME?</v>
      </c>
      <c r="N35" s="86"/>
      <c r="O35" s="86"/>
      <c r="P35" s="86"/>
      <c r="Q35" s="86"/>
      <c r="R35" s="123" t="e">
        <f>SUM('Project List'!#REF!)</f>
        <v>#REF!</v>
      </c>
      <c r="S35" s="86"/>
      <c r="T35" t="s">
        <v>192</v>
      </c>
      <c r="U35" s="87"/>
      <c r="V35" s="86"/>
      <c r="W35" s="86"/>
    </row>
    <row r="36" spans="1:23" ht="9" customHeight="1">
      <c r="A36" s="88"/>
      <c r="B36" s="86"/>
      <c r="C36" s="82"/>
      <c r="D36" s="124"/>
      <c r="E36" s="83"/>
      <c r="F36" s="83"/>
      <c r="G36" s="83"/>
      <c r="H36" s="83"/>
      <c r="J36" s="86"/>
      <c r="L36" s="86"/>
      <c r="M36" s="125"/>
      <c r="N36" s="86"/>
      <c r="O36" s="86"/>
      <c r="P36" s="86"/>
      <c r="Q36" s="86"/>
      <c r="R36" s="126"/>
      <c r="S36" s="86"/>
      <c r="T36" s="127"/>
      <c r="U36" s="87"/>
      <c r="V36" s="86"/>
      <c r="W36" s="86"/>
    </row>
    <row r="37" spans="1:23" ht="12.75" customHeight="1">
      <c r="B37" s="86"/>
      <c r="D37" s="128" t="s">
        <v>193</v>
      </c>
      <c r="E37" s="129"/>
      <c r="F37" s="129"/>
      <c r="G37" s="129"/>
      <c r="H37" s="129"/>
      <c r="I37" s="130"/>
      <c r="J37" s="131"/>
      <c r="K37" s="130"/>
      <c r="L37" s="86"/>
      <c r="M37" s="132"/>
      <c r="N37" s="86"/>
      <c r="O37" s="86"/>
      <c r="P37" s="86"/>
      <c r="Q37" s="86"/>
      <c r="R37" s="130" t="s">
        <v>194</v>
      </c>
      <c r="S37" s="131"/>
      <c r="T37" s="131"/>
      <c r="U37" s="87"/>
      <c r="V37" s="86"/>
      <c r="W37" s="86"/>
    </row>
    <row r="38" spans="1:23" ht="9" customHeight="1">
      <c r="B38" s="86"/>
      <c r="D38" s="133"/>
      <c r="E38" s="83"/>
      <c r="F38" s="83"/>
      <c r="G38" s="83"/>
      <c r="H38" s="83"/>
      <c r="J38" s="86"/>
      <c r="L38" s="86"/>
      <c r="M38" s="134"/>
      <c r="N38" s="86"/>
      <c r="O38" s="86"/>
      <c r="P38" s="86"/>
      <c r="Q38" s="86"/>
      <c r="R38" s="86"/>
      <c r="S38" s="86"/>
      <c r="T38" s="86"/>
      <c r="U38" s="87"/>
      <c r="V38" s="86"/>
      <c r="W38" s="86"/>
    </row>
    <row r="39" spans="1:23">
      <c r="A39" s="80"/>
      <c r="B39" s="86"/>
      <c r="C39" s="82"/>
      <c r="D39" s="133"/>
      <c r="E39" s="135"/>
      <c r="F39" s="83"/>
      <c r="G39" s="83"/>
      <c r="H39" s="90"/>
      <c r="I39" s="136" t="s">
        <v>195</v>
      </c>
      <c r="J39" s="86"/>
      <c r="L39" s="86"/>
      <c r="M39" s="137" t="e">
        <f>M35+M37</f>
        <v>#NAME?</v>
      </c>
      <c r="N39" s="86"/>
      <c r="O39" s="86"/>
      <c r="P39" s="86"/>
      <c r="Q39" s="86"/>
      <c r="R39" s="86"/>
      <c r="S39" s="86"/>
      <c r="T39" s="86"/>
      <c r="U39" s="87"/>
      <c r="V39" s="86"/>
      <c r="W39" s="86"/>
    </row>
    <row r="40" spans="1:23">
      <c r="A40" s="88" t="s">
        <v>196</v>
      </c>
      <c r="B40" s="113"/>
      <c r="C40" s="138"/>
      <c r="D40" s="139"/>
      <c r="E40" s="139"/>
      <c r="F40" s="139"/>
      <c r="G40" s="139"/>
      <c r="H40" s="139"/>
      <c r="J40" s="113"/>
      <c r="K40" s="113"/>
      <c r="L40" s="113"/>
      <c r="M40" s="113"/>
      <c r="N40" s="113"/>
      <c r="O40" s="113"/>
      <c r="P40" s="113"/>
      <c r="Q40" s="113"/>
      <c r="R40" s="140" t="e">
        <f>SUM(R32/R35,0)</f>
        <v>#REF!</v>
      </c>
      <c r="S40" s="113"/>
      <c r="T40" s="113"/>
      <c r="U40" s="114"/>
      <c r="V40" s="113"/>
      <c r="W40" s="113"/>
    </row>
    <row r="41" spans="1:23" s="86" customFormat="1" ht="15.95" customHeight="1">
      <c r="A41" s="88" t="s">
        <v>197</v>
      </c>
      <c r="B41" s="141"/>
      <c r="C41" s="82"/>
      <c r="D41" s="83"/>
      <c r="E41" s="83"/>
      <c r="F41" s="83"/>
      <c r="G41" s="83"/>
      <c r="H41" s="142"/>
      <c r="I41" s="143" t="s">
        <v>198</v>
      </c>
      <c r="R41" s="65">
        <v>0</v>
      </c>
      <c r="U41" s="144"/>
    </row>
    <row r="42" spans="1:23">
      <c r="A42" s="80" t="s">
        <v>199</v>
      </c>
      <c r="B42" s="80"/>
      <c r="C42" s="111"/>
      <c r="D42" s="112"/>
      <c r="E42" s="112"/>
      <c r="F42" s="112"/>
      <c r="G42" s="112"/>
      <c r="H42" s="112"/>
      <c r="J42" s="113"/>
      <c r="K42" s="113"/>
      <c r="L42" s="113"/>
      <c r="M42" s="113"/>
      <c r="N42" s="113"/>
      <c r="O42" s="113"/>
      <c r="P42" s="113"/>
      <c r="Q42" s="113"/>
      <c r="R42" s="116"/>
      <c r="S42" s="113"/>
      <c r="T42" s="113"/>
      <c r="U42" s="114"/>
      <c r="V42" s="113"/>
      <c r="W42" s="113"/>
    </row>
    <row r="43" spans="1:23">
      <c r="A43" s="88" t="s">
        <v>200</v>
      </c>
      <c r="B43" s="86"/>
      <c r="C43" s="82"/>
      <c r="D43" s="83"/>
      <c r="E43" s="83"/>
      <c r="F43" s="83"/>
      <c r="G43" s="83"/>
      <c r="H43" s="83"/>
      <c r="J43" s="86"/>
      <c r="K43" s="86"/>
      <c r="L43" s="86"/>
      <c r="M43" s="86"/>
      <c r="N43" s="86"/>
      <c r="O43" s="86"/>
      <c r="P43" s="86"/>
      <c r="Q43" s="86"/>
      <c r="R43" s="119">
        <f>(R32-R41)</f>
        <v>407048.73203200009</v>
      </c>
      <c r="S43" s="86"/>
      <c r="T43" s="86"/>
    </row>
    <row r="44" spans="1:23">
      <c r="A44" s="88"/>
      <c r="B44" s="86"/>
      <c r="C44" s="82"/>
      <c r="D44" s="83"/>
      <c r="E44" s="83"/>
      <c r="F44" s="83"/>
      <c r="G44" s="83"/>
      <c r="H44" s="83"/>
      <c r="J44" s="86"/>
      <c r="K44" s="86"/>
      <c r="L44" s="86"/>
      <c r="M44" s="86"/>
      <c r="N44" s="86"/>
      <c r="O44" s="86"/>
      <c r="P44" s="86"/>
      <c r="Q44" s="86"/>
      <c r="R44" s="145"/>
      <c r="S44" s="86"/>
      <c r="T44" s="86"/>
    </row>
    <row r="45" spans="1:23" s="84" customFormat="1" ht="12.75">
      <c r="A45" s="88" t="s">
        <v>201</v>
      </c>
      <c r="F45" s="146"/>
      <c r="R45" s="147" t="e">
        <f>SUM(R32-R41)/R35</f>
        <v>#REF!</v>
      </c>
      <c r="U45" s="148"/>
    </row>
    <row r="47" spans="1:23">
      <c r="A47" s="149" t="s">
        <v>152</v>
      </c>
      <c r="B47" s="150"/>
      <c r="C47" s="150"/>
    </row>
    <row r="48" spans="1:23">
      <c r="A48" s="151" t="s">
        <v>151</v>
      </c>
      <c r="B48" s="152"/>
    </row>
    <row r="50" spans="1:21">
      <c r="A50" s="102" t="s">
        <v>202</v>
      </c>
      <c r="M50" t="s">
        <v>203</v>
      </c>
    </row>
    <row r="60" spans="1:21">
      <c r="A60" s="153"/>
      <c r="F60"/>
      <c r="U60"/>
    </row>
  </sheetData>
  <mergeCells count="1">
    <mergeCell ref="A3:R3"/>
  </mergeCells>
  <hyperlinks>
    <hyperlink ref="T2" r:id="rId1" location="rate" display="Need Help? Instuctions and Video Demonstration" xr:uid="{00000000-0004-0000-0800-000000000000}"/>
  </hyperlinks>
  <pageMargins left="0.7" right="0.7" top="0.75" bottom="0.75" header="0.3" footer="0.3"/>
  <pageSetup scale="73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14</vt:i4>
      </vt:variant>
    </vt:vector>
  </HeadingPairs>
  <TitlesOfParts>
    <vt:vector size="37" baseType="lpstr">
      <vt:lpstr>Summary</vt:lpstr>
      <vt:lpstr>Rate summary</vt:lpstr>
      <vt:lpstr>Salary &amp; Benefits</vt:lpstr>
      <vt:lpstr>Productive Hours</vt:lpstr>
      <vt:lpstr>Service cost per Hour</vt:lpstr>
      <vt:lpstr>Project List</vt:lpstr>
      <vt:lpstr>Resource Pool</vt:lpstr>
      <vt:lpstr>Res S&amp;E, equipment</vt:lpstr>
      <vt:lpstr>Res Staffing</vt:lpstr>
      <vt:lpstr>Personnel</vt:lpstr>
      <vt:lpstr>Function Costing</vt:lpstr>
      <vt:lpstr>Staffing LIst</vt:lpstr>
      <vt:lpstr>Res Productive</vt:lpstr>
      <vt:lpstr>Cultural</vt:lpstr>
      <vt:lpstr>GAEL CALCULATION</vt:lpstr>
      <vt:lpstr>Feed Staffing</vt:lpstr>
      <vt:lpstr>Feed S&amp;E</vt:lpstr>
      <vt:lpstr>Check figure</vt:lpstr>
      <vt:lpstr>Password</vt:lpstr>
      <vt:lpstr>Depreciation</vt:lpstr>
      <vt:lpstr>Budget to Actual 23-24</vt:lpstr>
      <vt:lpstr>Projected B2A 24-25</vt:lpstr>
      <vt:lpstr>Drop Down</vt:lpstr>
      <vt:lpstr>'Project List'!Print_Area</vt:lpstr>
      <vt:lpstr>'Rate summary'!Print_Area</vt:lpstr>
      <vt:lpstr>'Res Productive'!Print_Area</vt:lpstr>
      <vt:lpstr>'Res Staffing'!Print_Area</vt:lpstr>
      <vt:lpstr>'Salary &amp; Benefits'!Print_Area</vt:lpstr>
      <vt:lpstr>'Service cost per Hour'!Print_Area</vt:lpstr>
      <vt:lpstr>Summary!Print_Area</vt:lpstr>
      <vt:lpstr>'Rate summary'!Print_Titles</vt:lpstr>
      <vt:lpstr>Rate1</vt:lpstr>
      <vt:lpstr>Rate2</vt:lpstr>
      <vt:lpstr>Rate3</vt:lpstr>
      <vt:lpstr>Rate4</vt:lpstr>
      <vt:lpstr>Rate5</vt:lpstr>
      <vt:lpstr>Rate6</vt:lpstr>
    </vt:vector>
  </TitlesOfParts>
  <Company>University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njohnson</dc:creator>
  <cp:lastModifiedBy>Han Pham</cp:lastModifiedBy>
  <cp:lastPrinted>2018-11-28T18:12:33Z</cp:lastPrinted>
  <dcterms:created xsi:type="dcterms:W3CDTF">2017-06-12T19:09:32Z</dcterms:created>
  <dcterms:modified xsi:type="dcterms:W3CDTF">2025-02-03T18:44:19Z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